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53.xml" ContentType="application/vnd.openxmlformats-officedocument.spreadsheetml.worksheet+xml"/>
  <Override PartName="/xl/worksheets/sheet71.xml" ContentType="application/vnd.openxmlformats-officedocument.spreadsheetml.worksheet+xml"/>
  <Override PartName="/xl/worksheets/sheet82.xml" ContentType="application/vnd.openxmlformats-officedocument.spreadsheetml.worksheet+xml"/>
  <Override PartName="/xl/worksheets/sheet13.xml" ContentType="application/vnd.openxmlformats-officedocument.spreadsheetml.worksheet+xml"/>
  <Override PartName="/xl/worksheets/sheet42.xml" ContentType="application/vnd.openxmlformats-officedocument.spreadsheetml.worksheet+xml"/>
  <Override PartName="/xl/worksheets/sheet60.xml" ContentType="application/vnd.openxmlformats-officedocument.spreadsheetml.worksheet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Default Extension="xml" ContentType="application/xml"/>
  <Override PartName="/xl/worksheets/sheet3.xml" ContentType="application/vnd.openxmlformats-officedocument.spreadsheetml.worksheet+xml"/>
  <Override PartName="/xl/worksheets/sheet89.xml" ContentType="application/vnd.openxmlformats-officedocument.spreadsheetml.worksheet+xml"/>
  <Override PartName="/xl/worksheets/sheet98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69.xml" ContentType="application/vnd.openxmlformats-officedocument.spreadsheetml.worksheet+xml"/>
  <Override PartName="/xl/worksheets/sheet78.xml" ContentType="application/vnd.openxmlformats-officedocument.spreadsheetml.worksheet+xml"/>
  <Override PartName="/xl/worksheets/sheet87.xml" ContentType="application/vnd.openxmlformats-officedocument.spreadsheetml.worksheet+xml"/>
  <Override PartName="/xl/worksheets/sheet96.xml" ContentType="application/vnd.openxmlformats-officedocument.spreadsheetml.worksheet+xml"/>
  <Override PartName="/xl/worksheets/sheet106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7.xml" ContentType="application/vnd.openxmlformats-officedocument.spreadsheetml.worksheet+xml"/>
  <Override PartName="/xl/worksheets/sheet76.xml" ContentType="application/vnd.openxmlformats-officedocument.spreadsheetml.worksheet+xml"/>
  <Override PartName="/xl/worksheets/sheet85.xml" ContentType="application/vnd.openxmlformats-officedocument.spreadsheetml.worksheet+xml"/>
  <Override PartName="/xl/worksheets/sheet94.xml" ContentType="application/vnd.openxmlformats-officedocument.spreadsheetml.worksheet+xml"/>
  <Override PartName="/xl/worksheets/sheet104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45.xml" ContentType="application/vnd.openxmlformats-officedocument.spreadsheetml.worksheet+xml"/>
  <Override PartName="/xl/worksheets/sheet54.xml" ContentType="application/vnd.openxmlformats-officedocument.spreadsheetml.worksheet+xml"/>
  <Override PartName="/xl/worksheets/sheet56.xml" ContentType="application/vnd.openxmlformats-officedocument.spreadsheetml.worksheet+xml"/>
  <Override PartName="/xl/worksheets/sheet65.xml" ContentType="application/vnd.openxmlformats-officedocument.spreadsheetml.worksheet+xml"/>
  <Override PartName="/xl/worksheets/sheet74.xml" ContentType="application/vnd.openxmlformats-officedocument.spreadsheetml.worksheet+xml"/>
  <Override PartName="/xl/worksheets/sheet83.xml" ContentType="application/vnd.openxmlformats-officedocument.spreadsheetml.worksheet+xml"/>
  <Override PartName="/xl/worksheets/sheet92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72.xml" ContentType="application/vnd.openxmlformats-officedocument.spreadsheetml.worksheet+xml"/>
  <Override PartName="/xl/worksheets/sheet81.xml" ContentType="application/vnd.openxmlformats-officedocument.spreadsheetml.worksheet+xml"/>
  <Override PartName="/xl/worksheets/sheet90.xml" ContentType="application/vnd.openxmlformats-officedocument.spreadsheetml.worksheet+xml"/>
  <Override PartName="/xl/worksheets/sheet100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7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worksheets/sheet109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7.xml" ContentType="application/vnd.openxmlformats-officedocument.spreadsheetml.worksheet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  <Override PartName="/xl/worksheets/sheet77.xml" ContentType="application/vnd.openxmlformats-officedocument.spreadsheetml.worksheet+xml"/>
  <Override PartName="/xl/worksheets/sheet79.xml" ContentType="application/vnd.openxmlformats-officedocument.spreadsheetml.worksheet+xml"/>
  <Override PartName="/xl/worksheets/sheet88.xml" ContentType="application/vnd.openxmlformats-officedocument.spreadsheetml.worksheet+xml"/>
  <Override PartName="/xl/worksheets/sheet97.xml" ContentType="application/vnd.openxmlformats-officedocument.spreadsheetml.worksheet+xml"/>
  <Override PartName="/xl/worksheets/sheet105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66.xml" ContentType="application/vnd.openxmlformats-officedocument.spreadsheetml.worksheet+xml"/>
  <Override PartName="/xl/worksheets/sheet75.xml" ContentType="application/vnd.openxmlformats-officedocument.spreadsheetml.worksheet+xml"/>
  <Override PartName="/xl/worksheets/sheet86.xml" ContentType="application/vnd.openxmlformats-officedocument.spreadsheetml.worksheet+xml"/>
  <Override PartName="/xl/worksheets/sheet95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6.xml" ContentType="application/vnd.openxmlformats-officedocument.spreadsheetml.worksheet+xml"/>
  <Override PartName="/xl/worksheets/sheet55.xml" ContentType="application/vnd.openxmlformats-officedocument.spreadsheetml.worksheet+xml"/>
  <Override PartName="/xl/worksheets/sheet64.xml" ContentType="application/vnd.openxmlformats-officedocument.spreadsheetml.worksheet+xml"/>
  <Override PartName="/xl/worksheets/sheet73.xml" ContentType="application/vnd.openxmlformats-officedocument.spreadsheetml.worksheet+xml"/>
  <Override PartName="/xl/worksheets/sheet84.xml" ContentType="application/vnd.openxmlformats-officedocument.spreadsheetml.worksheet+xml"/>
  <Override PartName="/xl/worksheets/sheet93.xml" ContentType="application/vnd.openxmlformats-officedocument.spreadsheetml.worksheet+xml"/>
  <Override PartName="/xl/worksheets/sheet101.xml" ContentType="application/vnd.openxmlformats-officedocument.spreadsheetml.workshee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  <Override PartName="/xl/worksheets/sheet62.xml" ContentType="application/vnd.openxmlformats-officedocument.spreadsheetml.worksheet+xml"/>
  <Override PartName="/xl/worksheets/sheet91.xml" ContentType="application/vnd.openxmlformats-officedocument.spreadsheetml.workshee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51.xml" ContentType="application/vnd.openxmlformats-officedocument.spreadsheetml.worksheet+xml"/>
  <Override PartName="/xl/worksheets/sheet80.xml" ContentType="application/vnd.openxmlformats-officedocument.spreadsheetml.worksheet+xml"/>
  <Override PartName="/xl/theme/theme1.xml" ContentType="application/vnd.openxmlformats-officedocument.theme+xml"/>
  <Override PartName="/xl/worksheets/sheet1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38640" windowHeight="15720" firstSheet="101" activeTab="106"/>
  </bookViews>
  <sheets>
    <sheet name="JANVIER (2)" sheetId="10" r:id="rId1"/>
    <sheet name="JUIN" sheetId="1" r:id="rId2"/>
    <sheet name="JUILLET" sheetId="2" r:id="rId3"/>
    <sheet name="AOUT" sheetId="3" r:id="rId4"/>
    <sheet name="SEPTEMBRE" sheetId="4" r:id="rId5"/>
    <sheet name="OCTOBRE" sheetId="5" r:id="rId6"/>
    <sheet name="NOVEMBRE" sheetId="6" r:id="rId7"/>
    <sheet name="DECEMBRE" sheetId="7" r:id="rId8"/>
    <sheet name="JANVIER" sheetId="9" r:id="rId9"/>
    <sheet name="FEVRIER" sheetId="12" r:id="rId10"/>
    <sheet name="MARS" sheetId="15" r:id="rId11"/>
    <sheet name="AVRIL" sheetId="13" r:id="rId12"/>
    <sheet name="MAI" sheetId="14" r:id="rId13"/>
    <sheet name="2018JUIN" sheetId="16" r:id="rId14"/>
    <sheet name="2018JUILLET" sheetId="17" r:id="rId15"/>
    <sheet name="2018AOUT" sheetId="19" r:id="rId16"/>
    <sheet name="2018SEPT" sheetId="18" r:id="rId17"/>
    <sheet name="2018OCT" sheetId="20" r:id="rId18"/>
    <sheet name="2018NOV" sheetId="21" r:id="rId19"/>
    <sheet name="201812" sheetId="22" r:id="rId20"/>
    <sheet name="201901" sheetId="23" r:id="rId21"/>
    <sheet name="201902" sheetId="24" r:id="rId22"/>
    <sheet name="201903" sheetId="25" r:id="rId23"/>
    <sheet name="201904" sheetId="26" r:id="rId24"/>
    <sheet name="201905OK" sheetId="27" r:id="rId25"/>
    <sheet name="201906OK" sheetId="28" r:id="rId26"/>
    <sheet name="201907OK" sheetId="29" r:id="rId27"/>
    <sheet name="201908OK" sheetId="30" r:id="rId28"/>
    <sheet name="201909OK" sheetId="31" r:id="rId29"/>
    <sheet name="201910OK" sheetId="32" r:id="rId30"/>
    <sheet name="201911OK" sheetId="33" r:id="rId31"/>
    <sheet name="201912OK (2)" sheetId="36" r:id="rId32"/>
    <sheet name="202001OK" sheetId="34" r:id="rId33"/>
    <sheet name="202002OK" sheetId="37" r:id="rId34"/>
    <sheet name="202003OK" sheetId="38" r:id="rId35"/>
    <sheet name="202004OK" sheetId="39" r:id="rId36"/>
    <sheet name="202005OK" sheetId="40" r:id="rId37"/>
    <sheet name="2020006OK" sheetId="41" r:id="rId38"/>
    <sheet name="2020007OK" sheetId="42" r:id="rId39"/>
    <sheet name="2020008OK" sheetId="43" r:id="rId40"/>
    <sheet name="2020009OK" sheetId="44" r:id="rId41"/>
    <sheet name="2020010OK" sheetId="45" r:id="rId42"/>
    <sheet name="2020011OK" sheetId="46" r:id="rId43"/>
    <sheet name="2020012OK" sheetId="47" r:id="rId44"/>
    <sheet name="202101OK" sheetId="48" r:id="rId45"/>
    <sheet name="202102OK" sheetId="49" r:id="rId46"/>
    <sheet name="202103OK" sheetId="50" r:id="rId47"/>
    <sheet name="202104OK" sheetId="51" r:id="rId48"/>
    <sheet name="202105OK" sheetId="52" r:id="rId49"/>
    <sheet name="202106OK" sheetId="53" r:id="rId50"/>
    <sheet name="202107OK" sheetId="54" r:id="rId51"/>
    <sheet name="202108OK" sheetId="55" r:id="rId52"/>
    <sheet name="202109OK" sheetId="56" r:id="rId53"/>
    <sheet name="202110OK" sheetId="57" r:id="rId54"/>
    <sheet name="202111OK" sheetId="58" r:id="rId55"/>
    <sheet name="202112OK" sheetId="59" r:id="rId56"/>
    <sheet name="202201OK" sheetId="60" r:id="rId57"/>
    <sheet name="202202OK" sheetId="61" r:id="rId58"/>
    <sheet name="202203OK" sheetId="62" r:id="rId59"/>
    <sheet name="202204OK" sheetId="63" r:id="rId60"/>
    <sheet name="202205OK" sheetId="64" r:id="rId61"/>
    <sheet name="202206OK" sheetId="65" r:id="rId62"/>
    <sheet name="202207OK" sheetId="66" r:id="rId63"/>
    <sheet name="202208OK" sheetId="68" r:id="rId64"/>
    <sheet name="202209OK" sheetId="67" r:id="rId65"/>
    <sheet name="202210OK" sheetId="69" r:id="rId66"/>
    <sheet name="202211OK" sheetId="70" r:id="rId67"/>
    <sheet name="202301OK" sheetId="71" r:id="rId68"/>
    <sheet name="202302OK" sheetId="72" r:id="rId69"/>
    <sheet name="202303OK" sheetId="73" r:id="rId70"/>
    <sheet name="202304" sheetId="74" r:id="rId71"/>
    <sheet name="202305" sheetId="75" r:id="rId72"/>
    <sheet name="202306" sheetId="76" r:id="rId73"/>
    <sheet name="202307ok" sheetId="77" r:id="rId74"/>
    <sheet name="202308OK" sheetId="78" r:id="rId75"/>
    <sheet name="202309OK" sheetId="82" r:id="rId76"/>
    <sheet name="202310" sheetId="83" r:id="rId77"/>
    <sheet name="202311" sheetId="84" r:id="rId78"/>
    <sheet name="202312" sheetId="85" r:id="rId79"/>
    <sheet name="202401" sheetId="86" r:id="rId80"/>
    <sheet name="202402" sheetId="87" r:id="rId81"/>
    <sheet name="202403" sheetId="88" r:id="rId82"/>
    <sheet name="202404" sheetId="89" r:id="rId83"/>
    <sheet name="202405OK" sheetId="91" r:id="rId84"/>
    <sheet name="202406OK" sheetId="92" r:id="rId85"/>
    <sheet name="202407OK" sheetId="93" r:id="rId86"/>
    <sheet name="202408OK" sheetId="94" r:id="rId87"/>
    <sheet name="202409OK" sheetId="95" r:id="rId88"/>
    <sheet name="202410OK" sheetId="96" r:id="rId89"/>
    <sheet name="202411OK" sheetId="97" r:id="rId90"/>
    <sheet name="202412OK" sheetId="98" r:id="rId91"/>
    <sheet name="202501KO" sheetId="99" r:id="rId92"/>
    <sheet name="202502OK" sheetId="100" r:id="rId93"/>
    <sheet name="202503OK" sheetId="102" r:id="rId94"/>
    <sheet name="202504OK" sheetId="103" r:id="rId95"/>
    <sheet name="2025005OK" sheetId="104" r:id="rId96"/>
    <sheet name="2025006OK" sheetId="105" r:id="rId97"/>
    <sheet name="2025007OK" sheetId="106" r:id="rId98"/>
    <sheet name="2025008OK" sheetId="107" r:id="rId99"/>
    <sheet name="2025009OK" sheetId="108" r:id="rId100"/>
    <sheet name="2025010OK" sheetId="109" r:id="rId101"/>
    <sheet name="2025011" sheetId="110" r:id="rId102"/>
    <sheet name="2025012" sheetId="111" r:id="rId103"/>
    <sheet name="202601" sheetId="112" r:id="rId104"/>
    <sheet name="202602" sheetId="113" r:id="rId105"/>
    <sheet name="202603" sheetId="114" r:id="rId106"/>
    <sheet name="202604 -TEST" sheetId="115" r:id="rId107"/>
    <sheet name="en cours" sheetId="35" r:id="rId108"/>
    <sheet name="Feuil1" sheetId="101" r:id="rId109"/>
  </sheets>
  <definedNames>
    <definedName name="_xlnm._FilterDatabase" localSheetId="56" hidden="1">'202201OK'!$A$1:$N$1</definedName>
    <definedName name="_xlnm._FilterDatabase" localSheetId="57" hidden="1">'202202OK'!$A$1:$N$1</definedName>
    <definedName name="_xlnm._FilterDatabase" localSheetId="58" hidden="1">'202203OK'!$A$1:$N$1</definedName>
    <definedName name="_xlnm._FilterDatabase" localSheetId="59" hidden="1">'202204OK'!$A$1:$N$1</definedName>
    <definedName name="_xlnm._FilterDatabase" localSheetId="60" hidden="1">'202205OK'!$A$1:$N$1</definedName>
    <definedName name="_xlnm._FilterDatabase" localSheetId="61" hidden="1">'202206OK'!$A$1:$N$1</definedName>
    <definedName name="_xlnm._FilterDatabase" localSheetId="62" hidden="1">'202207OK'!$A$1:$N$1</definedName>
    <definedName name="_xlnm._FilterDatabase" localSheetId="63" hidden="1">'202208OK'!$A$1:$N$1</definedName>
    <definedName name="_xlnm._FilterDatabase" localSheetId="64" hidden="1">'202209OK'!$A$1:$O$1</definedName>
    <definedName name="_xlnm._FilterDatabase" localSheetId="65" hidden="1">'202210OK'!$A$1:$O$1</definedName>
    <definedName name="_xlnm._FilterDatabase" localSheetId="66" hidden="1">'202211OK'!$A$1:$P$115</definedName>
    <definedName name="_xlnm._FilterDatabase" localSheetId="67" hidden="1">'202301OK'!$A$1:$P$147</definedName>
    <definedName name="_xlnm._FilterDatabase" localSheetId="68" hidden="1">'202302OK'!$A$1:$P$172</definedName>
    <definedName name="_xlnm._FilterDatabase" localSheetId="69" hidden="1">'202303OK'!$A$1:$P$205</definedName>
    <definedName name="_xlnm._FilterDatabase" localSheetId="70" hidden="1">'202304'!$A$1:$P$212</definedName>
    <definedName name="_xlnm._FilterDatabase" localSheetId="71" hidden="1">'202305'!$A$1:$P$116</definedName>
    <definedName name="_xlnm._FilterDatabase" localSheetId="72" hidden="1">'202306'!$A$1:$P$116</definedName>
    <definedName name="_xlnm._FilterDatabase" localSheetId="73" hidden="1">'202307ok'!$A$1:$R$1</definedName>
    <definedName name="_xlnm._FilterDatabase" localSheetId="74" hidden="1">'202308OK'!$A$1:$P$118</definedName>
    <definedName name="_xlnm._FilterDatabase" localSheetId="75" hidden="1">'202309OK'!$A$1:$P$118</definedName>
    <definedName name="_xlnm._FilterDatabase" localSheetId="76" hidden="1">'202310'!$A$1:$P$119</definedName>
    <definedName name="_xlnm._FilterDatabase" localSheetId="77" hidden="1">'202311'!$A$1:$P$119</definedName>
    <definedName name="_xlnm._FilterDatabase" localSheetId="78" hidden="1">'202312'!$A$1:$P$119</definedName>
    <definedName name="_xlnm._FilterDatabase" localSheetId="79" hidden="1">'202401'!$A$1:$P$121</definedName>
    <definedName name="_xlnm._FilterDatabase" localSheetId="80" hidden="1">'202402'!$A$1:$P$127</definedName>
    <definedName name="_xlnm._FilterDatabase" localSheetId="81" hidden="1">'202403'!$A$1:$P$125</definedName>
    <definedName name="_xlnm._FilterDatabase" localSheetId="82" hidden="1">'202404'!$A$1:$P$126</definedName>
    <definedName name="_xlnm._FilterDatabase" localSheetId="83" hidden="1">'202405OK'!$A$1:$P$126</definedName>
    <definedName name="_xlnm._FilterDatabase" localSheetId="84" hidden="1">'202406OK'!$A$1:$P$126</definedName>
    <definedName name="_xlnm._FilterDatabase" localSheetId="85" hidden="1">'202407OK'!$A$1:$P$131</definedName>
    <definedName name="_xlnm._FilterDatabase" localSheetId="86" hidden="1">'202408OK'!$A$1:$P$133</definedName>
    <definedName name="_xlnm._FilterDatabase" localSheetId="87" hidden="1">'202409OK'!$A$1:$P$133</definedName>
    <definedName name="_xlnm._FilterDatabase" localSheetId="88" hidden="1">'202410OK'!$A$1:$P$133</definedName>
    <definedName name="_xlnm._FilterDatabase" localSheetId="89" hidden="1">'202411OK'!$A$1:$P$136</definedName>
    <definedName name="_xlnm._FilterDatabase" localSheetId="90" hidden="1">'202412OK'!$A$1:$P$135</definedName>
    <definedName name="_xlnm._FilterDatabase" localSheetId="95" hidden="1">'2025005OK'!$A$1:$P$145</definedName>
    <definedName name="_xlnm._FilterDatabase" localSheetId="96" hidden="1">'2025006OK'!$A$1:$P$145</definedName>
    <definedName name="_xlnm._FilterDatabase" localSheetId="97" hidden="1">'2025007OK'!$A$1:$P$142</definedName>
    <definedName name="_xlnm._FilterDatabase" localSheetId="98" hidden="1">'2025008OK'!$A$1:$P$141</definedName>
    <definedName name="_xlnm._FilterDatabase" localSheetId="99" hidden="1">'2025009OK'!$A$1:$P$139</definedName>
    <definedName name="_xlnm._FilterDatabase" localSheetId="100" hidden="1">'2025010OK'!$A$1:$P$142</definedName>
    <definedName name="_xlnm._FilterDatabase" localSheetId="101" hidden="1">'2025011'!$A$1:$P$145</definedName>
    <definedName name="_xlnm._FilterDatabase" localSheetId="102" hidden="1">'2025012'!$A$1:$P$143</definedName>
    <definedName name="_xlnm._FilterDatabase" localSheetId="91" hidden="1">'202501KO'!$A$1:$P$136</definedName>
    <definedName name="_xlnm._FilterDatabase" localSheetId="92" hidden="1">'202502OK'!$A$1:$P$137</definedName>
    <definedName name="_xlnm._FilterDatabase" localSheetId="93" hidden="1">'202503OK'!$A$1:$P$140</definedName>
    <definedName name="_xlnm._FilterDatabase" localSheetId="94" hidden="1">'202504OK'!$A$1:$P$143</definedName>
    <definedName name="_xlnm._FilterDatabase" localSheetId="103" hidden="1">'202601'!$A$1:$P$144</definedName>
    <definedName name="_xlnm._FilterDatabase" localSheetId="104" hidden="1">'202602'!$A$1:$P$145</definedName>
    <definedName name="_xlnm._FilterDatabase" localSheetId="105" hidden="1">'202603'!$A$1:$P$143</definedName>
    <definedName name="_xlnm._FilterDatabase" localSheetId="106" hidden="1">'202604 -TEST'!$A$4:$X$144</definedName>
  </definedNames>
  <calcPr calcId="124519"/>
</workbook>
</file>

<file path=xl/calcChain.xml><?xml version="1.0" encoding="utf-8"?>
<calcChain xmlns="http://schemas.openxmlformats.org/spreadsheetml/2006/main">
  <c r="W76" i="115"/>
  <c r="W79"/>
  <c r="W78"/>
  <c r="W77"/>
  <c r="S1" l="1"/>
  <c r="W69"/>
  <c r="X69" s="1"/>
  <c r="W106"/>
  <c r="W105"/>
  <c r="W80"/>
  <c r="W74"/>
  <c r="W73"/>
  <c r="W119"/>
  <c r="W71"/>
  <c r="X71" s="1"/>
  <c r="W70"/>
  <c r="V142"/>
  <c r="W142" s="1"/>
  <c r="V143"/>
  <c r="W143" s="1"/>
  <c r="W141"/>
  <c r="V140"/>
  <c r="W140" s="1"/>
  <c r="V137"/>
  <c r="W137" s="1"/>
  <c r="V135"/>
  <c r="W135" s="1"/>
  <c r="V132"/>
  <c r="W132" s="1"/>
  <c r="V129"/>
  <c r="W129" s="1"/>
  <c r="V128"/>
  <c r="W128" s="1"/>
  <c r="W126"/>
  <c r="V127"/>
  <c r="W127" s="1"/>
  <c r="V125"/>
  <c r="W125" s="1"/>
  <c r="V124"/>
  <c r="W124" s="1"/>
  <c r="V122"/>
  <c r="W122" s="1"/>
  <c r="V121"/>
  <c r="W116"/>
  <c r="V115"/>
  <c r="W115" s="1"/>
  <c r="V112"/>
  <c r="W112" s="1"/>
  <c r="V111"/>
  <c r="W111" s="1"/>
  <c r="V110"/>
  <c r="W110" s="1"/>
  <c r="V108"/>
  <c r="W108" s="1"/>
  <c r="U104"/>
  <c r="V104"/>
  <c r="V102"/>
  <c r="W102" s="1"/>
  <c r="V101"/>
  <c r="W101" s="1"/>
  <c r="V100"/>
  <c r="W100" s="1"/>
  <c r="V99"/>
  <c r="W99" s="1"/>
  <c r="V98"/>
  <c r="W98" s="1"/>
  <c r="V97"/>
  <c r="W97" s="1"/>
  <c r="X128" l="1"/>
  <c r="W104"/>
  <c r="V93"/>
  <c r="W93" s="1"/>
  <c r="V92"/>
  <c r="W92" s="1"/>
  <c r="V91"/>
  <c r="W91" s="1"/>
  <c r="V90"/>
  <c r="W90" s="1"/>
  <c r="V89"/>
  <c r="W89" s="1"/>
  <c r="V87"/>
  <c r="W87" s="1"/>
  <c r="V60"/>
  <c r="W60" s="1"/>
  <c r="W68"/>
  <c r="V67"/>
  <c r="W67" s="1"/>
  <c r="V63"/>
  <c r="W63" s="1"/>
  <c r="V62"/>
  <c r="W62" s="1"/>
  <c r="V56"/>
  <c r="W56" s="1"/>
  <c r="W54"/>
  <c r="W52"/>
  <c r="R52"/>
  <c r="V51"/>
  <c r="W51" s="1"/>
  <c r="V49"/>
  <c r="W49" s="1"/>
  <c r="V47"/>
  <c r="W47" s="1"/>
  <c r="V136"/>
  <c r="W136" s="1"/>
  <c r="W138"/>
  <c r="R66"/>
  <c r="W134"/>
  <c r="W120"/>
  <c r="W114"/>
  <c r="W107"/>
  <c r="W88"/>
  <c r="W66"/>
  <c r="W130"/>
  <c r="W64"/>
  <c r="W61"/>
  <c r="V58"/>
  <c r="W58" s="1"/>
  <c r="V117"/>
  <c r="W117" s="1"/>
  <c r="W96"/>
  <c r="W139"/>
  <c r="W123"/>
  <c r="W113"/>
  <c r="W109"/>
  <c r="W103"/>
  <c r="W94"/>
  <c r="W65"/>
  <c r="W59"/>
  <c r="W57"/>
  <c r="W53"/>
  <c r="V131"/>
  <c r="W131" s="1"/>
  <c r="V95"/>
  <c r="W95" s="1"/>
  <c r="V55"/>
  <c r="W55" s="1"/>
  <c r="V48"/>
  <c r="W48" s="1"/>
  <c r="V46"/>
  <c r="W46" s="1"/>
  <c r="W45"/>
  <c r="V44"/>
  <c r="W44" s="1"/>
  <c r="V43"/>
  <c r="W43" s="1"/>
  <c r="V42"/>
  <c r="W42" s="1"/>
  <c r="V41"/>
  <c r="W41" s="1"/>
  <c r="V133"/>
  <c r="W133" s="1"/>
  <c r="V40"/>
  <c r="W40" s="1"/>
  <c r="V39"/>
  <c r="W39" s="1"/>
  <c r="V38"/>
  <c r="W38" s="1"/>
  <c r="V37"/>
  <c r="W37" s="1"/>
  <c r="W6"/>
  <c r="W8"/>
  <c r="W7"/>
  <c r="W9"/>
  <c r="W10"/>
  <c r="W11"/>
  <c r="W13"/>
  <c r="W14"/>
  <c r="W17"/>
  <c r="W18"/>
  <c r="W24"/>
  <c r="W26"/>
  <c r="W29"/>
  <c r="W30"/>
  <c r="W82"/>
  <c r="W83"/>
  <c r="W84"/>
  <c r="W85"/>
  <c r="W86"/>
  <c r="W32"/>
  <c r="W34"/>
  <c r="V36"/>
  <c r="W36" s="1"/>
  <c r="V35"/>
  <c r="W35" s="1"/>
  <c r="V33"/>
  <c r="W33" s="1"/>
  <c r="V31"/>
  <c r="W31" s="1"/>
  <c r="V50"/>
  <c r="W50" s="1"/>
  <c r="V28"/>
  <c r="W28" s="1"/>
  <c r="R28"/>
  <c r="V27"/>
  <c r="W27" s="1"/>
  <c r="R27"/>
  <c r="V25"/>
  <c r="W25" s="1"/>
  <c r="V144"/>
  <c r="W144" s="1"/>
  <c r="V23"/>
  <c r="W23" s="1"/>
  <c r="V22"/>
  <c r="W22" s="1"/>
  <c r="V21"/>
  <c r="W21" s="1"/>
  <c r="V20"/>
  <c r="W20" s="1"/>
  <c r="R19"/>
  <c r="V19"/>
  <c r="W19" s="1"/>
  <c r="R17"/>
  <c r="V16"/>
  <c r="W16" s="1"/>
  <c r="V15"/>
  <c r="W15" s="1"/>
  <c r="V12"/>
  <c r="W12" s="1"/>
  <c r="V5"/>
  <c r="W5" s="1"/>
  <c r="D1" i="35"/>
  <c r="R85" i="115"/>
  <c r="R61"/>
  <c r="Q37"/>
  <c r="R37" s="1"/>
  <c r="R24"/>
  <c r="R18"/>
  <c r="R130"/>
  <c r="R95"/>
  <c r="R94"/>
  <c r="X94" s="1"/>
  <c r="R117"/>
  <c r="R101"/>
  <c r="X101" s="1"/>
  <c r="Q102"/>
  <c r="R102" s="1"/>
  <c r="X102" s="1"/>
  <c r="R57"/>
  <c r="X57" s="1"/>
  <c r="R58"/>
  <c r="R72"/>
  <c r="R64"/>
  <c r="R9"/>
  <c r="R59"/>
  <c r="R109"/>
  <c r="R103"/>
  <c r="R47"/>
  <c r="R138"/>
  <c r="R123"/>
  <c r="R104"/>
  <c r="R46"/>
  <c r="R45"/>
  <c r="R96"/>
  <c r="R97"/>
  <c r="X97" s="1"/>
  <c r="R133"/>
  <c r="R56"/>
  <c r="R25"/>
  <c r="M25"/>
  <c r="R98"/>
  <c r="X98" s="1"/>
  <c r="M98"/>
  <c r="R139"/>
  <c r="R63"/>
  <c r="M63"/>
  <c r="R26"/>
  <c r="M26"/>
  <c r="R29"/>
  <c r="M29"/>
  <c r="R141"/>
  <c r="X141" s="1"/>
  <c r="R115"/>
  <c r="X115" s="1"/>
  <c r="R114"/>
  <c r="R107"/>
  <c r="Q99"/>
  <c r="R99" s="1"/>
  <c r="X99" s="1"/>
  <c r="L99"/>
  <c r="R33"/>
  <c r="R51"/>
  <c r="R7"/>
  <c r="R41"/>
  <c r="R113"/>
  <c r="R34"/>
  <c r="M34"/>
  <c r="R88"/>
  <c r="M88"/>
  <c r="R16"/>
  <c r="Q67"/>
  <c r="R67" s="1"/>
  <c r="R65"/>
  <c r="X65" s="1"/>
  <c r="R14"/>
  <c r="R108"/>
  <c r="X108" s="1"/>
  <c r="R32"/>
  <c r="N32"/>
  <c r="M32"/>
  <c r="Q31"/>
  <c r="R31" s="1"/>
  <c r="N31"/>
  <c r="R38"/>
  <c r="R134"/>
  <c r="R53"/>
  <c r="R120"/>
  <c r="M120"/>
  <c r="R13"/>
  <c r="M13"/>
  <c r="R140"/>
  <c r="X140" s="1"/>
  <c r="M140"/>
  <c r="R105"/>
  <c r="X105" s="1"/>
  <c r="M105"/>
  <c r="R92"/>
  <c r="M92"/>
  <c r="R50"/>
  <c r="M50"/>
  <c r="R119"/>
  <c r="X119" s="1"/>
  <c r="M119"/>
  <c r="R118"/>
  <c r="P118"/>
  <c r="W118" s="1"/>
  <c r="X118" s="1"/>
  <c r="M118"/>
  <c r="R75"/>
  <c r="P75"/>
  <c r="W75" s="1"/>
  <c r="M75"/>
  <c r="R142"/>
  <c r="X142" s="1"/>
  <c r="Q100"/>
  <c r="R100" s="1"/>
  <c r="X100" s="1"/>
  <c r="N100"/>
  <c r="M100"/>
  <c r="R124"/>
  <c r="X124" s="1"/>
  <c r="M124"/>
  <c r="Q143"/>
  <c r="R143" s="1"/>
  <c r="X143" s="1"/>
  <c r="N143"/>
  <c r="M143"/>
  <c r="R43"/>
  <c r="N43"/>
  <c r="M43"/>
  <c r="R15"/>
  <c r="M15"/>
  <c r="R40"/>
  <c r="M40"/>
  <c r="R137"/>
  <c r="X137" s="1"/>
  <c r="M137"/>
  <c r="R49"/>
  <c r="N49"/>
  <c r="M49"/>
  <c r="R6"/>
  <c r="M6"/>
  <c r="R116"/>
  <c r="X116" s="1"/>
  <c r="M116"/>
  <c r="R122"/>
  <c r="X122" s="1"/>
  <c r="R90"/>
  <c r="R22"/>
  <c r="M22"/>
  <c r="R12"/>
  <c r="Q12"/>
  <c r="R132"/>
  <c r="X132" s="1"/>
  <c r="M132"/>
  <c r="R21"/>
  <c r="M21"/>
  <c r="R111"/>
  <c r="X111" s="1"/>
  <c r="M111"/>
  <c r="R20"/>
  <c r="M20"/>
  <c r="R87"/>
  <c r="N87"/>
  <c r="M87"/>
  <c r="R23"/>
  <c r="M23"/>
  <c r="R36"/>
  <c r="M36"/>
  <c r="R128"/>
  <c r="M128"/>
  <c r="R135"/>
  <c r="X135" s="1"/>
  <c r="M135"/>
  <c r="Q127"/>
  <c r="R127" s="1"/>
  <c r="X127" s="1"/>
  <c r="M127"/>
  <c r="R55"/>
  <c r="R91"/>
  <c r="M91"/>
  <c r="R126"/>
  <c r="X126" s="1"/>
  <c r="M126"/>
  <c r="R112"/>
  <c r="X112" s="1"/>
  <c r="M112"/>
  <c r="Q110"/>
  <c r="R110" s="1"/>
  <c r="X110" s="1"/>
  <c r="M110"/>
  <c r="R60"/>
  <c r="M60"/>
  <c r="R35"/>
  <c r="M35"/>
  <c r="R44"/>
  <c r="M44"/>
  <c r="R48"/>
  <c r="M48"/>
  <c r="R131"/>
  <c r="R39"/>
  <c r="R125"/>
  <c r="X125" s="1"/>
  <c r="M125"/>
  <c r="R62"/>
  <c r="M62"/>
  <c r="R81"/>
  <c r="L81"/>
  <c r="R129"/>
  <c r="X129" s="1"/>
  <c r="R8"/>
  <c r="M8"/>
  <c r="O8" s="1"/>
  <c r="R106"/>
  <c r="X106" s="1"/>
  <c r="M106"/>
  <c r="R42"/>
  <c r="L42"/>
  <c r="Q5"/>
  <c r="R5" s="1"/>
  <c r="M5"/>
  <c r="R77"/>
  <c r="X77" s="1"/>
  <c r="M77"/>
  <c r="R74"/>
  <c r="X74" s="1"/>
  <c r="M74"/>
  <c r="R79"/>
  <c r="X79" s="1"/>
  <c r="M79"/>
  <c r="R80"/>
  <c r="X80" s="1"/>
  <c r="M80"/>
  <c r="R70"/>
  <c r="X70" s="1"/>
  <c r="M70"/>
  <c r="R30"/>
  <c r="R73"/>
  <c r="X73" s="1"/>
  <c r="M73"/>
  <c r="R76"/>
  <c r="X76" s="1"/>
  <c r="M76"/>
  <c r="M19"/>
  <c r="R78"/>
  <c r="X78" s="1"/>
  <c r="M78"/>
  <c r="R93"/>
  <c r="M93"/>
  <c r="Q121"/>
  <c r="P121"/>
  <c r="W121" s="1"/>
  <c r="M121"/>
  <c r="R89"/>
  <c r="N89"/>
  <c r="M89"/>
  <c r="R84"/>
  <c r="M84"/>
  <c r="R68"/>
  <c r="M68"/>
  <c r="R83"/>
  <c r="M83"/>
  <c r="R136"/>
  <c r="M136"/>
  <c r="L136"/>
  <c r="R10"/>
  <c r="M10"/>
  <c r="R11"/>
  <c r="M11"/>
  <c r="L11"/>
  <c r="R144"/>
  <c r="R86"/>
  <c r="O86"/>
  <c r="M86"/>
  <c r="R54"/>
  <c r="R82"/>
  <c r="O82"/>
  <c r="H142" i="114"/>
  <c r="N153"/>
  <c r="N141"/>
  <c r="N152"/>
  <c r="N140"/>
  <c r="N138"/>
  <c r="N151"/>
  <c r="M139"/>
  <c r="N139" s="1"/>
  <c r="N137"/>
  <c r="N136"/>
  <c r="N135"/>
  <c r="N134"/>
  <c r="N133"/>
  <c r="N132"/>
  <c r="N131"/>
  <c r="M130"/>
  <c r="N130" s="1"/>
  <c r="N129"/>
  <c r="N128"/>
  <c r="N127"/>
  <c r="N126"/>
  <c r="N125"/>
  <c r="N124"/>
  <c r="N123"/>
  <c r="N122"/>
  <c r="N121"/>
  <c r="N120"/>
  <c r="N119"/>
  <c r="N118"/>
  <c r="N117"/>
  <c r="N116"/>
  <c r="N115"/>
  <c r="N114"/>
  <c r="N113"/>
  <c r="N112"/>
  <c r="N111"/>
  <c r="I111"/>
  <c r="N110"/>
  <c r="I110"/>
  <c r="N109"/>
  <c r="N108"/>
  <c r="I108"/>
  <c r="N107"/>
  <c r="I107"/>
  <c r="N106"/>
  <c r="I106"/>
  <c r="N105"/>
  <c r="N104"/>
  <c r="N103"/>
  <c r="N102"/>
  <c r="M101"/>
  <c r="N101" s="1"/>
  <c r="H101"/>
  <c r="N100"/>
  <c r="N99"/>
  <c r="N98"/>
  <c r="N97"/>
  <c r="N96"/>
  <c r="N95"/>
  <c r="N94"/>
  <c r="I94"/>
  <c r="N93"/>
  <c r="I93"/>
  <c r="N92"/>
  <c r="M91"/>
  <c r="N91" s="1"/>
  <c r="N90"/>
  <c r="N89"/>
  <c r="N88"/>
  <c r="N87"/>
  <c r="J87"/>
  <c r="I87"/>
  <c r="M86"/>
  <c r="N86" s="1"/>
  <c r="J86"/>
  <c r="N85"/>
  <c r="N84"/>
  <c r="N83"/>
  <c r="N82"/>
  <c r="N81"/>
  <c r="I81"/>
  <c r="N80"/>
  <c r="I80"/>
  <c r="N79"/>
  <c r="I79"/>
  <c r="N78"/>
  <c r="I78"/>
  <c r="N77"/>
  <c r="I77"/>
  <c r="N76"/>
  <c r="I76"/>
  <c r="N75"/>
  <c r="I75"/>
  <c r="N74"/>
  <c r="L74"/>
  <c r="I74"/>
  <c r="N73"/>
  <c r="L73"/>
  <c r="I73"/>
  <c r="N72"/>
  <c r="M71"/>
  <c r="N71" s="1"/>
  <c r="J71"/>
  <c r="I71"/>
  <c r="N70"/>
  <c r="I70"/>
  <c r="M69"/>
  <c r="N69" s="1"/>
  <c r="J69"/>
  <c r="I69"/>
  <c r="N68"/>
  <c r="J68"/>
  <c r="I68"/>
  <c r="N67"/>
  <c r="I67"/>
  <c r="N66"/>
  <c r="I66"/>
  <c r="N65"/>
  <c r="N64"/>
  <c r="L64"/>
  <c r="I64"/>
  <c r="N63"/>
  <c r="J63"/>
  <c r="I63"/>
  <c r="N62"/>
  <c r="I62"/>
  <c r="N61"/>
  <c r="I61"/>
  <c r="N60"/>
  <c r="N59"/>
  <c r="N58"/>
  <c r="I58"/>
  <c r="N57"/>
  <c r="M57"/>
  <c r="N56"/>
  <c r="I56"/>
  <c r="N55"/>
  <c r="I55"/>
  <c r="N54"/>
  <c r="I54"/>
  <c r="N53"/>
  <c r="I53"/>
  <c r="N52"/>
  <c r="I52"/>
  <c r="N51"/>
  <c r="J51"/>
  <c r="I51"/>
  <c r="N50"/>
  <c r="I50"/>
  <c r="N49"/>
  <c r="I49"/>
  <c r="N48"/>
  <c r="I48"/>
  <c r="N47"/>
  <c r="I47"/>
  <c r="N46"/>
  <c r="I46"/>
  <c r="M45"/>
  <c r="N45" s="1"/>
  <c r="I45"/>
  <c r="N44"/>
  <c r="N43"/>
  <c r="I43"/>
  <c r="N42"/>
  <c r="I42"/>
  <c r="N41"/>
  <c r="I41"/>
  <c r="M40"/>
  <c r="N40" s="1"/>
  <c r="I40"/>
  <c r="N39"/>
  <c r="I39"/>
  <c r="N38"/>
  <c r="I38"/>
  <c r="N37"/>
  <c r="I37"/>
  <c r="N36"/>
  <c r="I36"/>
  <c r="N35"/>
  <c r="N34"/>
  <c r="N33"/>
  <c r="I33"/>
  <c r="N32"/>
  <c r="I32"/>
  <c r="M31"/>
  <c r="N31" s="1"/>
  <c r="I31"/>
  <c r="N30"/>
  <c r="H30"/>
  <c r="N29"/>
  <c r="N28"/>
  <c r="I28"/>
  <c r="K28" s="1"/>
  <c r="N27"/>
  <c r="I27"/>
  <c r="N26"/>
  <c r="H26"/>
  <c r="M25"/>
  <c r="N25" s="1"/>
  <c r="I25"/>
  <c r="N24"/>
  <c r="I24"/>
  <c r="N23"/>
  <c r="I23"/>
  <c r="N22"/>
  <c r="I22"/>
  <c r="N21"/>
  <c r="I21"/>
  <c r="N20"/>
  <c r="I20"/>
  <c r="N19"/>
  <c r="N18"/>
  <c r="I18"/>
  <c r="N17"/>
  <c r="I17"/>
  <c r="I16"/>
  <c r="N15"/>
  <c r="I15"/>
  <c r="N14"/>
  <c r="I14"/>
  <c r="M13"/>
  <c r="L13"/>
  <c r="I13"/>
  <c r="N12"/>
  <c r="J12"/>
  <c r="I12"/>
  <c r="N11"/>
  <c r="I11"/>
  <c r="L10"/>
  <c r="N10" s="1"/>
  <c r="I10"/>
  <c r="N9"/>
  <c r="I9"/>
  <c r="N8"/>
  <c r="I8"/>
  <c r="H8"/>
  <c r="N7"/>
  <c r="I7"/>
  <c r="N6"/>
  <c r="I6"/>
  <c r="H6"/>
  <c r="N5"/>
  <c r="N4"/>
  <c r="K4"/>
  <c r="I4"/>
  <c r="N3"/>
  <c r="N2"/>
  <c r="K2"/>
  <c r="H144" i="113"/>
  <c r="N155"/>
  <c r="N150"/>
  <c r="N156"/>
  <c r="M143"/>
  <c r="N143" s="1"/>
  <c r="N152"/>
  <c r="N153"/>
  <c r="N142"/>
  <c r="N141"/>
  <c r="N140"/>
  <c r="N139"/>
  <c r="N138"/>
  <c r="N137"/>
  <c r="N53"/>
  <c r="N27"/>
  <c r="N136"/>
  <c r="N135"/>
  <c r="M134"/>
  <c r="N134" s="1"/>
  <c r="N133"/>
  <c r="N132"/>
  <c r="N131"/>
  <c r="N130"/>
  <c r="N129"/>
  <c r="N128"/>
  <c r="N127"/>
  <c r="N126"/>
  <c r="N125"/>
  <c r="N124"/>
  <c r="N123"/>
  <c r="N122"/>
  <c r="N121"/>
  <c r="N120"/>
  <c r="N119"/>
  <c r="N118"/>
  <c r="N117"/>
  <c r="N116"/>
  <c r="N115"/>
  <c r="I115"/>
  <c r="N114"/>
  <c r="I114"/>
  <c r="N113"/>
  <c r="N112"/>
  <c r="I112"/>
  <c r="N111"/>
  <c r="I111"/>
  <c r="N110"/>
  <c r="I110"/>
  <c r="N109"/>
  <c r="N108"/>
  <c r="N107"/>
  <c r="N106"/>
  <c r="M105"/>
  <c r="N105" s="1"/>
  <c r="H105"/>
  <c r="N104"/>
  <c r="N103"/>
  <c r="N102"/>
  <c r="N101"/>
  <c r="N100"/>
  <c r="N99"/>
  <c r="N98"/>
  <c r="I98"/>
  <c r="N97"/>
  <c r="I97"/>
  <c r="N96"/>
  <c r="M95"/>
  <c r="N95" s="1"/>
  <c r="N94"/>
  <c r="N93"/>
  <c r="N92"/>
  <c r="N91"/>
  <c r="J91"/>
  <c r="I91"/>
  <c r="M90"/>
  <c r="N90" s="1"/>
  <c r="J90"/>
  <c r="N89"/>
  <c r="N88"/>
  <c r="N87"/>
  <c r="N86"/>
  <c r="N85"/>
  <c r="I85"/>
  <c r="N84"/>
  <c r="I84"/>
  <c r="N83"/>
  <c r="I83"/>
  <c r="N82"/>
  <c r="I82"/>
  <c r="N81"/>
  <c r="I81"/>
  <c r="N80"/>
  <c r="I80"/>
  <c r="N79"/>
  <c r="I79"/>
  <c r="N78"/>
  <c r="L78"/>
  <c r="I78"/>
  <c r="N77"/>
  <c r="L77"/>
  <c r="I77"/>
  <c r="N76"/>
  <c r="M75"/>
  <c r="N75" s="1"/>
  <c r="J75"/>
  <c r="I75"/>
  <c r="N74"/>
  <c r="I74"/>
  <c r="M73"/>
  <c r="N73" s="1"/>
  <c r="J73"/>
  <c r="I73"/>
  <c r="N72"/>
  <c r="J72"/>
  <c r="I72"/>
  <c r="N71"/>
  <c r="I71"/>
  <c r="N70"/>
  <c r="I70"/>
  <c r="N69"/>
  <c r="N68"/>
  <c r="L68"/>
  <c r="I68"/>
  <c r="N67"/>
  <c r="J67"/>
  <c r="I67"/>
  <c r="N66"/>
  <c r="I66"/>
  <c r="N65"/>
  <c r="I65"/>
  <c r="N64"/>
  <c r="N63"/>
  <c r="N62"/>
  <c r="I62"/>
  <c r="N61"/>
  <c r="M61"/>
  <c r="N60"/>
  <c r="I60"/>
  <c r="N59"/>
  <c r="I59"/>
  <c r="N58"/>
  <c r="I58"/>
  <c r="N57"/>
  <c r="I57"/>
  <c r="N56"/>
  <c r="I56"/>
  <c r="N55"/>
  <c r="I55"/>
  <c r="N54"/>
  <c r="J54"/>
  <c r="I54"/>
  <c r="I53"/>
  <c r="N52"/>
  <c r="I52"/>
  <c r="N51"/>
  <c r="I51"/>
  <c r="N50"/>
  <c r="I50"/>
  <c r="N49"/>
  <c r="I49"/>
  <c r="M48"/>
  <c r="N48" s="1"/>
  <c r="I48"/>
  <c r="N47"/>
  <c r="N46"/>
  <c r="I46"/>
  <c r="N45"/>
  <c r="I45"/>
  <c r="M44"/>
  <c r="N44" s="1"/>
  <c r="I44"/>
  <c r="M43"/>
  <c r="N43" s="1"/>
  <c r="I43"/>
  <c r="N42"/>
  <c r="I42"/>
  <c r="N41"/>
  <c r="I41"/>
  <c r="N40"/>
  <c r="I40"/>
  <c r="N39"/>
  <c r="I39"/>
  <c r="N38"/>
  <c r="N37"/>
  <c r="N36"/>
  <c r="I36"/>
  <c r="N35"/>
  <c r="I35"/>
  <c r="M34"/>
  <c r="N34" s="1"/>
  <c r="I34"/>
  <c r="N33"/>
  <c r="H33"/>
  <c r="N32"/>
  <c r="N31"/>
  <c r="I31"/>
  <c r="K31" s="1"/>
  <c r="M30"/>
  <c r="I30"/>
  <c r="H30"/>
  <c r="I29"/>
  <c r="H29"/>
  <c r="N28"/>
  <c r="I28"/>
  <c r="H27"/>
  <c r="M26"/>
  <c r="N26" s="1"/>
  <c r="I26"/>
  <c r="N25"/>
  <c r="N24"/>
  <c r="I24"/>
  <c r="N23"/>
  <c r="I23"/>
  <c r="N22"/>
  <c r="I22"/>
  <c r="N21"/>
  <c r="I21"/>
  <c r="N20"/>
  <c r="I20"/>
  <c r="N19"/>
  <c r="N18"/>
  <c r="I18"/>
  <c r="N17"/>
  <c r="I17"/>
  <c r="I16"/>
  <c r="N15"/>
  <c r="I15"/>
  <c r="N14"/>
  <c r="I14"/>
  <c r="M13"/>
  <c r="L13"/>
  <c r="I13"/>
  <c r="N12"/>
  <c r="J12"/>
  <c r="I12"/>
  <c r="N11"/>
  <c r="I11"/>
  <c r="L10"/>
  <c r="N10" s="1"/>
  <c r="I10"/>
  <c r="N9"/>
  <c r="I9"/>
  <c r="N8"/>
  <c r="I8"/>
  <c r="H8"/>
  <c r="N7"/>
  <c r="I7"/>
  <c r="N6"/>
  <c r="I6"/>
  <c r="H6"/>
  <c r="N5"/>
  <c r="N4"/>
  <c r="K4"/>
  <c r="I4"/>
  <c r="N3"/>
  <c r="N2"/>
  <c r="K2"/>
  <c r="N146" i="112"/>
  <c r="N147"/>
  <c r="H143"/>
  <c r="N142"/>
  <c r="N151"/>
  <c r="N149"/>
  <c r="N154" s="1"/>
  <c r="N150"/>
  <c r="N141"/>
  <c r="N140"/>
  <c r="N139"/>
  <c r="N138"/>
  <c r="N137"/>
  <c r="N136"/>
  <c r="M135"/>
  <c r="N135" s="1"/>
  <c r="N134"/>
  <c r="N133"/>
  <c r="N132"/>
  <c r="N131"/>
  <c r="N130"/>
  <c r="N129"/>
  <c r="N128"/>
  <c r="N127"/>
  <c r="N126"/>
  <c r="N125"/>
  <c r="N124"/>
  <c r="N123"/>
  <c r="N122"/>
  <c r="N121"/>
  <c r="N120"/>
  <c r="N119"/>
  <c r="N118"/>
  <c r="N117"/>
  <c r="N116"/>
  <c r="I116"/>
  <c r="N115"/>
  <c r="I115"/>
  <c r="N114"/>
  <c r="N113"/>
  <c r="I113"/>
  <c r="N112"/>
  <c r="I112"/>
  <c r="N111"/>
  <c r="I111"/>
  <c r="N110"/>
  <c r="N109"/>
  <c r="N108"/>
  <c r="N107"/>
  <c r="M106"/>
  <c r="N106" s="1"/>
  <c r="H106"/>
  <c r="N105"/>
  <c r="N104"/>
  <c r="N103"/>
  <c r="N102"/>
  <c r="N101"/>
  <c r="N100"/>
  <c r="N99"/>
  <c r="I99"/>
  <c r="N98"/>
  <c r="I98"/>
  <c r="N97"/>
  <c r="M96"/>
  <c r="N96" s="1"/>
  <c r="N95"/>
  <c r="N94"/>
  <c r="N93"/>
  <c r="N92"/>
  <c r="J92"/>
  <c r="I92"/>
  <c r="M91"/>
  <c r="N91" s="1"/>
  <c r="J91"/>
  <c r="N90"/>
  <c r="N89"/>
  <c r="N88"/>
  <c r="N87"/>
  <c r="N86"/>
  <c r="I86"/>
  <c r="N85"/>
  <c r="I85"/>
  <c r="N84"/>
  <c r="I84"/>
  <c r="N83"/>
  <c r="I83"/>
  <c r="N82"/>
  <c r="I82"/>
  <c r="N81"/>
  <c r="I81"/>
  <c r="N80"/>
  <c r="I80"/>
  <c r="N79"/>
  <c r="L79"/>
  <c r="I79"/>
  <c r="N78"/>
  <c r="L78"/>
  <c r="I78"/>
  <c r="N77"/>
  <c r="M76"/>
  <c r="N76" s="1"/>
  <c r="J76"/>
  <c r="I76"/>
  <c r="N75"/>
  <c r="I75"/>
  <c r="M74"/>
  <c r="N74" s="1"/>
  <c r="J74"/>
  <c r="I74"/>
  <c r="N73"/>
  <c r="J73"/>
  <c r="I73"/>
  <c r="N72"/>
  <c r="I72"/>
  <c r="N71"/>
  <c r="I71"/>
  <c r="N70"/>
  <c r="N69"/>
  <c r="L69"/>
  <c r="I69"/>
  <c r="N68"/>
  <c r="J68"/>
  <c r="I68"/>
  <c r="N67"/>
  <c r="I67"/>
  <c r="N66"/>
  <c r="I66"/>
  <c r="N65"/>
  <c r="N64"/>
  <c r="N63"/>
  <c r="I63"/>
  <c r="N62"/>
  <c r="M62"/>
  <c r="N61"/>
  <c r="I61"/>
  <c r="N60"/>
  <c r="I60"/>
  <c r="N59"/>
  <c r="I59"/>
  <c r="N58"/>
  <c r="I58"/>
  <c r="N57"/>
  <c r="I57"/>
  <c r="N56"/>
  <c r="I56"/>
  <c r="N55"/>
  <c r="J55"/>
  <c r="I55"/>
  <c r="N54"/>
  <c r="I54"/>
  <c r="N53"/>
  <c r="I53"/>
  <c r="N52"/>
  <c r="I52"/>
  <c r="N51"/>
  <c r="I51"/>
  <c r="N50"/>
  <c r="I50"/>
  <c r="N49"/>
  <c r="I49"/>
  <c r="M48"/>
  <c r="N48" s="1"/>
  <c r="I48"/>
  <c r="N47"/>
  <c r="N46"/>
  <c r="I46"/>
  <c r="N45"/>
  <c r="I45"/>
  <c r="M44"/>
  <c r="N44" s="1"/>
  <c r="I44"/>
  <c r="M43"/>
  <c r="N43" s="1"/>
  <c r="I43"/>
  <c r="N42"/>
  <c r="I42"/>
  <c r="N41"/>
  <c r="I41"/>
  <c r="N40"/>
  <c r="I40"/>
  <c r="N39"/>
  <c r="I39"/>
  <c r="N38"/>
  <c r="N37"/>
  <c r="N36"/>
  <c r="I36"/>
  <c r="N35"/>
  <c r="I35"/>
  <c r="M34"/>
  <c r="N34" s="1"/>
  <c r="I34"/>
  <c r="N33"/>
  <c r="H33"/>
  <c r="N32"/>
  <c r="N31"/>
  <c r="I31"/>
  <c r="K31" s="1"/>
  <c r="M30"/>
  <c r="I30"/>
  <c r="H30"/>
  <c r="I29"/>
  <c r="H29"/>
  <c r="N28"/>
  <c r="I28"/>
  <c r="H27"/>
  <c r="M26"/>
  <c r="N26" s="1"/>
  <c r="I26"/>
  <c r="N25"/>
  <c r="N24"/>
  <c r="I24"/>
  <c r="N23"/>
  <c r="I23"/>
  <c r="N22"/>
  <c r="I22"/>
  <c r="N21"/>
  <c r="I21"/>
  <c r="N20"/>
  <c r="I20"/>
  <c r="N19"/>
  <c r="N18"/>
  <c r="I18"/>
  <c r="N17"/>
  <c r="I17"/>
  <c r="I16"/>
  <c r="N15"/>
  <c r="I15"/>
  <c r="N14"/>
  <c r="I14"/>
  <c r="M13"/>
  <c r="L13"/>
  <c r="I13"/>
  <c r="N12"/>
  <c r="J12"/>
  <c r="I12"/>
  <c r="N11"/>
  <c r="I11"/>
  <c r="L10"/>
  <c r="N10" s="1"/>
  <c r="I10"/>
  <c r="N9"/>
  <c r="I9"/>
  <c r="N8"/>
  <c r="I8"/>
  <c r="H8"/>
  <c r="N7"/>
  <c r="I7"/>
  <c r="N6"/>
  <c r="I6"/>
  <c r="H6"/>
  <c r="N5"/>
  <c r="N4"/>
  <c r="K4"/>
  <c r="I4"/>
  <c r="N3"/>
  <c r="N2"/>
  <c r="K2"/>
  <c r="N141" i="111"/>
  <c r="M158"/>
  <c r="M157"/>
  <c r="M155"/>
  <c r="M156"/>
  <c r="N140"/>
  <c r="N138"/>
  <c r="N137"/>
  <c r="N136"/>
  <c r="N135"/>
  <c r="N134"/>
  <c r="M153"/>
  <c r="M150"/>
  <c r="M149"/>
  <c r="M161" s="1"/>
  <c r="M159" i="110"/>
  <c r="M158"/>
  <c r="M139" i="111"/>
  <c r="N139" s="1"/>
  <c r="N133"/>
  <c r="N132"/>
  <c r="N131"/>
  <c r="N130"/>
  <c r="N129"/>
  <c r="N128"/>
  <c r="N127"/>
  <c r="N126"/>
  <c r="N125"/>
  <c r="N124"/>
  <c r="N123"/>
  <c r="N122"/>
  <c r="N121"/>
  <c r="N120"/>
  <c r="I120"/>
  <c r="N119"/>
  <c r="I119"/>
  <c r="N118"/>
  <c r="N117"/>
  <c r="I117"/>
  <c r="N116"/>
  <c r="I116"/>
  <c r="N115"/>
  <c r="I115"/>
  <c r="N114"/>
  <c r="N113"/>
  <c r="N112"/>
  <c r="N111"/>
  <c r="M110"/>
  <c r="N110" s="1"/>
  <c r="H110"/>
  <c r="N109"/>
  <c r="N108"/>
  <c r="N107"/>
  <c r="N106"/>
  <c r="N105"/>
  <c r="N104"/>
  <c r="N103"/>
  <c r="I103"/>
  <c r="N102"/>
  <c r="I102"/>
  <c r="N101"/>
  <c r="M100"/>
  <c r="N100" s="1"/>
  <c r="N99"/>
  <c r="N98"/>
  <c r="N97"/>
  <c r="N96"/>
  <c r="J96"/>
  <c r="I96"/>
  <c r="M95"/>
  <c r="N95" s="1"/>
  <c r="J95"/>
  <c r="N94"/>
  <c r="N93"/>
  <c r="N92"/>
  <c r="N91"/>
  <c r="N90"/>
  <c r="I90"/>
  <c r="N89"/>
  <c r="I89"/>
  <c r="N88"/>
  <c r="I88"/>
  <c r="N87"/>
  <c r="I87"/>
  <c r="N86"/>
  <c r="I86"/>
  <c r="N85"/>
  <c r="I85"/>
  <c r="N84"/>
  <c r="I84"/>
  <c r="N83"/>
  <c r="L83"/>
  <c r="I83"/>
  <c r="N82"/>
  <c r="L82"/>
  <c r="I82"/>
  <c r="N81"/>
  <c r="M80"/>
  <c r="N80" s="1"/>
  <c r="J80"/>
  <c r="I80"/>
  <c r="N79"/>
  <c r="I79"/>
  <c r="M78"/>
  <c r="N78" s="1"/>
  <c r="J78"/>
  <c r="I78"/>
  <c r="N77"/>
  <c r="J77"/>
  <c r="I77"/>
  <c r="N76"/>
  <c r="I76"/>
  <c r="N75"/>
  <c r="I75"/>
  <c r="N74"/>
  <c r="N73"/>
  <c r="L73"/>
  <c r="I73"/>
  <c r="N72"/>
  <c r="J72"/>
  <c r="I72"/>
  <c r="N71"/>
  <c r="I71"/>
  <c r="N70"/>
  <c r="I70"/>
  <c r="N69"/>
  <c r="N68"/>
  <c r="N67"/>
  <c r="I67"/>
  <c r="N66"/>
  <c r="M66"/>
  <c r="N65"/>
  <c r="I65"/>
  <c r="N64"/>
  <c r="I64"/>
  <c r="N63"/>
  <c r="I63"/>
  <c r="N62"/>
  <c r="I62"/>
  <c r="N61"/>
  <c r="I61"/>
  <c r="N60"/>
  <c r="I60"/>
  <c r="N59"/>
  <c r="J59"/>
  <c r="I59"/>
  <c r="N58"/>
  <c r="J58"/>
  <c r="I58"/>
  <c r="N57"/>
  <c r="I57"/>
  <c r="N56"/>
  <c r="I56"/>
  <c r="N55"/>
  <c r="I55"/>
  <c r="N54"/>
  <c r="I54"/>
  <c r="N53"/>
  <c r="I53"/>
  <c r="N52"/>
  <c r="I52"/>
  <c r="N51"/>
  <c r="I51"/>
  <c r="M50"/>
  <c r="N50" s="1"/>
  <c r="I50"/>
  <c r="N49"/>
  <c r="N48"/>
  <c r="I48"/>
  <c r="N47"/>
  <c r="I47"/>
  <c r="N46"/>
  <c r="I46"/>
  <c r="N45"/>
  <c r="I45"/>
  <c r="M44"/>
  <c r="N44" s="1"/>
  <c r="I44"/>
  <c r="M43"/>
  <c r="N43" s="1"/>
  <c r="I43"/>
  <c r="N42"/>
  <c r="I42"/>
  <c r="N41"/>
  <c r="I41"/>
  <c r="N40"/>
  <c r="I40"/>
  <c r="N39"/>
  <c r="I39"/>
  <c r="N38"/>
  <c r="N37"/>
  <c r="N36"/>
  <c r="I36"/>
  <c r="N35"/>
  <c r="I35"/>
  <c r="M34"/>
  <c r="N34" s="1"/>
  <c r="I34"/>
  <c r="N33"/>
  <c r="H33"/>
  <c r="N32"/>
  <c r="N31"/>
  <c r="I31"/>
  <c r="K31" s="1"/>
  <c r="M30"/>
  <c r="I30"/>
  <c r="H30"/>
  <c r="I29"/>
  <c r="H29"/>
  <c r="N28"/>
  <c r="I28"/>
  <c r="H27"/>
  <c r="M26"/>
  <c r="N26" s="1"/>
  <c r="I26"/>
  <c r="N25"/>
  <c r="N24"/>
  <c r="I24"/>
  <c r="N23"/>
  <c r="I23"/>
  <c r="N22"/>
  <c r="I22"/>
  <c r="N21"/>
  <c r="I21"/>
  <c r="N20"/>
  <c r="I20"/>
  <c r="N19"/>
  <c r="N18"/>
  <c r="I18"/>
  <c r="N17"/>
  <c r="I17"/>
  <c r="I16"/>
  <c r="N15"/>
  <c r="I15"/>
  <c r="N14"/>
  <c r="I14"/>
  <c r="M13"/>
  <c r="L13"/>
  <c r="I13"/>
  <c r="N12"/>
  <c r="J12"/>
  <c r="I12"/>
  <c r="N11"/>
  <c r="I11"/>
  <c r="L10"/>
  <c r="N10" s="1"/>
  <c r="I10"/>
  <c r="N9"/>
  <c r="I9"/>
  <c r="N8"/>
  <c r="I8"/>
  <c r="H8"/>
  <c r="N7"/>
  <c r="I7"/>
  <c r="N6"/>
  <c r="I6"/>
  <c r="H6"/>
  <c r="N5"/>
  <c r="N4"/>
  <c r="K4"/>
  <c r="I4"/>
  <c r="N3"/>
  <c r="N2"/>
  <c r="K2"/>
  <c r="M143" i="110"/>
  <c r="N143" s="1"/>
  <c r="M157"/>
  <c r="M155"/>
  <c r="M99"/>
  <c r="N99" s="1"/>
  <c r="N142"/>
  <c r="N141"/>
  <c r="M154"/>
  <c r="N140"/>
  <c r="M151"/>
  <c r="N139"/>
  <c r="M150"/>
  <c r="N138"/>
  <c r="N137"/>
  <c r="N136"/>
  <c r="N135"/>
  <c r="N134"/>
  <c r="N133"/>
  <c r="N132"/>
  <c r="N131"/>
  <c r="N130"/>
  <c r="N129"/>
  <c r="N128"/>
  <c r="N127"/>
  <c r="N126"/>
  <c r="N125"/>
  <c r="N124"/>
  <c r="I124"/>
  <c r="N123"/>
  <c r="I123"/>
  <c r="N122"/>
  <c r="N121"/>
  <c r="I121"/>
  <c r="N120"/>
  <c r="I120"/>
  <c r="N119"/>
  <c r="I119"/>
  <c r="N118"/>
  <c r="N117"/>
  <c r="N116"/>
  <c r="N115"/>
  <c r="M114"/>
  <c r="N114" s="1"/>
  <c r="H114"/>
  <c r="N113"/>
  <c r="N112"/>
  <c r="N111"/>
  <c r="N110"/>
  <c r="N109"/>
  <c r="N108"/>
  <c r="N107"/>
  <c r="I107"/>
  <c r="N106"/>
  <c r="I106"/>
  <c r="N105"/>
  <c r="M104"/>
  <c r="N104" s="1"/>
  <c r="N103"/>
  <c r="N102"/>
  <c r="N101"/>
  <c r="N100"/>
  <c r="J100"/>
  <c r="I100"/>
  <c r="J99"/>
  <c r="N98"/>
  <c r="N97"/>
  <c r="N96"/>
  <c r="N95"/>
  <c r="N94"/>
  <c r="I94"/>
  <c r="N93"/>
  <c r="I93"/>
  <c r="N92"/>
  <c r="I92"/>
  <c r="N91"/>
  <c r="I91"/>
  <c r="N90"/>
  <c r="I90"/>
  <c r="N89"/>
  <c r="I89"/>
  <c r="N88"/>
  <c r="I88"/>
  <c r="N87"/>
  <c r="L87"/>
  <c r="I87"/>
  <c r="N86"/>
  <c r="L86"/>
  <c r="I86"/>
  <c r="N85"/>
  <c r="M84"/>
  <c r="N84" s="1"/>
  <c r="J84"/>
  <c r="I84"/>
  <c r="N83"/>
  <c r="I83"/>
  <c r="M82"/>
  <c r="N82" s="1"/>
  <c r="J82"/>
  <c r="I82"/>
  <c r="N81"/>
  <c r="J81"/>
  <c r="I81"/>
  <c r="N80"/>
  <c r="I80"/>
  <c r="N79"/>
  <c r="I79"/>
  <c r="N78"/>
  <c r="I78"/>
  <c r="N77"/>
  <c r="N76"/>
  <c r="L76"/>
  <c r="I76"/>
  <c r="N75"/>
  <c r="J75"/>
  <c r="I75"/>
  <c r="N74"/>
  <c r="I74"/>
  <c r="N73"/>
  <c r="I73"/>
  <c r="N72"/>
  <c r="N71"/>
  <c r="N70"/>
  <c r="I70"/>
  <c r="N69"/>
  <c r="M69"/>
  <c r="N68"/>
  <c r="I68"/>
  <c r="N67"/>
  <c r="I67"/>
  <c r="N66"/>
  <c r="I66"/>
  <c r="N65"/>
  <c r="I65"/>
  <c r="N64"/>
  <c r="I64"/>
  <c r="N63"/>
  <c r="I63"/>
  <c r="N62"/>
  <c r="J62"/>
  <c r="I62"/>
  <c r="N61"/>
  <c r="J61"/>
  <c r="I61"/>
  <c r="N60"/>
  <c r="I60"/>
  <c r="N59"/>
  <c r="I59"/>
  <c r="N58"/>
  <c r="I58"/>
  <c r="N57"/>
  <c r="I57"/>
  <c r="N56"/>
  <c r="I56"/>
  <c r="N55"/>
  <c r="I55"/>
  <c r="N54"/>
  <c r="I54"/>
  <c r="M53"/>
  <c r="N53" s="1"/>
  <c r="I53"/>
  <c r="M52"/>
  <c r="N52" s="1"/>
  <c r="I52"/>
  <c r="N51"/>
  <c r="N50"/>
  <c r="I50"/>
  <c r="N49"/>
  <c r="I49"/>
  <c r="N48"/>
  <c r="I48"/>
  <c r="N47"/>
  <c r="I47"/>
  <c r="M46"/>
  <c r="N46" s="1"/>
  <c r="I46"/>
  <c r="M45"/>
  <c r="N45" s="1"/>
  <c r="I45"/>
  <c r="N44"/>
  <c r="I44"/>
  <c r="N43"/>
  <c r="I43"/>
  <c r="N42"/>
  <c r="I42"/>
  <c r="N41"/>
  <c r="I41"/>
  <c r="N40"/>
  <c r="N39"/>
  <c r="N38"/>
  <c r="I38"/>
  <c r="N37"/>
  <c r="I37"/>
  <c r="M36"/>
  <c r="N36" s="1"/>
  <c r="I36"/>
  <c r="N35"/>
  <c r="H35"/>
  <c r="N34"/>
  <c r="N33"/>
  <c r="I33"/>
  <c r="K33" s="1"/>
  <c r="M32"/>
  <c r="I32"/>
  <c r="H32"/>
  <c r="I31"/>
  <c r="H31"/>
  <c r="N30"/>
  <c r="I30"/>
  <c r="H29"/>
  <c r="M28"/>
  <c r="N28" s="1"/>
  <c r="I28"/>
  <c r="N27"/>
  <c r="N26"/>
  <c r="I26"/>
  <c r="N25"/>
  <c r="I25"/>
  <c r="N24"/>
  <c r="I24"/>
  <c r="N23"/>
  <c r="I23"/>
  <c r="N22"/>
  <c r="I22"/>
  <c r="N21"/>
  <c r="I21"/>
  <c r="N20"/>
  <c r="N19"/>
  <c r="I19"/>
  <c r="N18"/>
  <c r="I18"/>
  <c r="I17"/>
  <c r="N16"/>
  <c r="I16"/>
  <c r="N15"/>
  <c r="I15"/>
  <c r="M14"/>
  <c r="L14"/>
  <c r="I14"/>
  <c r="N13"/>
  <c r="J13"/>
  <c r="I13"/>
  <c r="N12"/>
  <c r="I12"/>
  <c r="N11"/>
  <c r="I11"/>
  <c r="L10"/>
  <c r="N10" s="1"/>
  <c r="I10"/>
  <c r="N9"/>
  <c r="I9"/>
  <c r="N8"/>
  <c r="I8"/>
  <c r="H8"/>
  <c r="N7"/>
  <c r="I7"/>
  <c r="N6"/>
  <c r="I6"/>
  <c r="H6"/>
  <c r="N5"/>
  <c r="N4"/>
  <c r="K4"/>
  <c r="I4"/>
  <c r="N3"/>
  <c r="N2"/>
  <c r="K2"/>
  <c r="G34" i="35"/>
  <c r="G35"/>
  <c r="G36"/>
  <c r="G33"/>
  <c r="G30"/>
  <c r="G31"/>
  <c r="G32"/>
  <c r="G29"/>
  <c r="G28"/>
  <c r="G27"/>
  <c r="G26"/>
  <c r="M153" i="109"/>
  <c r="H141"/>
  <c r="M152"/>
  <c r="M144"/>
  <c r="M168" s="1"/>
  <c r="N140"/>
  <c r="N138"/>
  <c r="N139"/>
  <c r="M145"/>
  <c r="M146"/>
  <c r="N137"/>
  <c r="G18" i="35"/>
  <c r="G19"/>
  <c r="G20"/>
  <c r="G21"/>
  <c r="G22"/>
  <c r="G23"/>
  <c r="G25"/>
  <c r="G17"/>
  <c r="D24"/>
  <c r="G24" s="1"/>
  <c r="N136" i="109"/>
  <c r="N135"/>
  <c r="N134"/>
  <c r="N133"/>
  <c r="N132"/>
  <c r="N131"/>
  <c r="N130"/>
  <c r="N129"/>
  <c r="N128"/>
  <c r="N127"/>
  <c r="I127"/>
  <c r="N126"/>
  <c r="I126"/>
  <c r="N125"/>
  <c r="N124"/>
  <c r="I124"/>
  <c r="N123"/>
  <c r="I123"/>
  <c r="N122"/>
  <c r="I122"/>
  <c r="N121"/>
  <c r="N120"/>
  <c r="N119"/>
  <c r="N118"/>
  <c r="M117"/>
  <c r="N117" s="1"/>
  <c r="H117"/>
  <c r="N116"/>
  <c r="N115"/>
  <c r="N114"/>
  <c r="N113"/>
  <c r="N112"/>
  <c r="N111"/>
  <c r="N110"/>
  <c r="I110"/>
  <c r="N109"/>
  <c r="I109"/>
  <c r="N108"/>
  <c r="M107"/>
  <c r="N107" s="1"/>
  <c r="N106"/>
  <c r="N105"/>
  <c r="N104"/>
  <c r="N103"/>
  <c r="J103"/>
  <c r="I103"/>
  <c r="N102"/>
  <c r="J102"/>
  <c r="N101"/>
  <c r="N100"/>
  <c r="N99"/>
  <c r="N98"/>
  <c r="N97"/>
  <c r="I97"/>
  <c r="N96"/>
  <c r="I96"/>
  <c r="N95"/>
  <c r="I95"/>
  <c r="N94"/>
  <c r="I94"/>
  <c r="N93"/>
  <c r="I93"/>
  <c r="N92"/>
  <c r="I92"/>
  <c r="N91"/>
  <c r="I91"/>
  <c r="N90"/>
  <c r="L90"/>
  <c r="I90"/>
  <c r="N89"/>
  <c r="L89"/>
  <c r="I89"/>
  <c r="N88"/>
  <c r="M87"/>
  <c r="N87" s="1"/>
  <c r="J87"/>
  <c r="I87"/>
  <c r="N86"/>
  <c r="I86"/>
  <c r="M85"/>
  <c r="N85" s="1"/>
  <c r="J85"/>
  <c r="I85"/>
  <c r="N84"/>
  <c r="J84"/>
  <c r="I84"/>
  <c r="N83"/>
  <c r="I83"/>
  <c r="N82"/>
  <c r="I82"/>
  <c r="N81"/>
  <c r="I81"/>
  <c r="I80"/>
  <c r="N79"/>
  <c r="N78"/>
  <c r="L78"/>
  <c r="I78"/>
  <c r="N77"/>
  <c r="J77"/>
  <c r="I77"/>
  <c r="N76"/>
  <c r="I76"/>
  <c r="N75"/>
  <c r="I75"/>
  <c r="N74"/>
  <c r="N73"/>
  <c r="N72"/>
  <c r="I72"/>
  <c r="N71"/>
  <c r="I71"/>
  <c r="N70"/>
  <c r="M70"/>
  <c r="N69"/>
  <c r="I69"/>
  <c r="N68"/>
  <c r="I68"/>
  <c r="N67"/>
  <c r="I67"/>
  <c r="N66"/>
  <c r="I66"/>
  <c r="N65"/>
  <c r="I65"/>
  <c r="N64"/>
  <c r="I64"/>
  <c r="N63"/>
  <c r="J63"/>
  <c r="I63"/>
  <c r="N62"/>
  <c r="J62"/>
  <c r="I62"/>
  <c r="N61"/>
  <c r="I61"/>
  <c r="N60"/>
  <c r="I60"/>
  <c r="N59"/>
  <c r="I59"/>
  <c r="N58"/>
  <c r="I58"/>
  <c r="N57"/>
  <c r="I57"/>
  <c r="N56"/>
  <c r="I56"/>
  <c r="N55"/>
  <c r="I55"/>
  <c r="M54"/>
  <c r="N54" s="1"/>
  <c r="I54"/>
  <c r="M53"/>
  <c r="N53" s="1"/>
  <c r="I53"/>
  <c r="N52"/>
  <c r="I52"/>
  <c r="N51"/>
  <c r="N50"/>
  <c r="I50"/>
  <c r="N49"/>
  <c r="I49"/>
  <c r="N48"/>
  <c r="I48"/>
  <c r="N47"/>
  <c r="I47"/>
  <c r="M46"/>
  <c r="N46" s="1"/>
  <c r="I46"/>
  <c r="M45"/>
  <c r="N45" s="1"/>
  <c r="I45"/>
  <c r="N44"/>
  <c r="I44"/>
  <c r="N43"/>
  <c r="I43"/>
  <c r="N42"/>
  <c r="I42"/>
  <c r="N41"/>
  <c r="I41"/>
  <c r="N40"/>
  <c r="N39"/>
  <c r="N38"/>
  <c r="I38"/>
  <c r="N37"/>
  <c r="I37"/>
  <c r="M36"/>
  <c r="N36" s="1"/>
  <c r="I36"/>
  <c r="N35"/>
  <c r="H35"/>
  <c r="N34"/>
  <c r="N33"/>
  <c r="I33"/>
  <c r="K33" s="1"/>
  <c r="M32"/>
  <c r="I32"/>
  <c r="H32"/>
  <c r="I31"/>
  <c r="H31"/>
  <c r="N30"/>
  <c r="I30"/>
  <c r="H29"/>
  <c r="M28"/>
  <c r="N28" s="1"/>
  <c r="I28"/>
  <c r="N27"/>
  <c r="N26"/>
  <c r="I26"/>
  <c r="N25"/>
  <c r="I25"/>
  <c r="N24"/>
  <c r="I24"/>
  <c r="N23"/>
  <c r="I23"/>
  <c r="N22"/>
  <c r="I22"/>
  <c r="N21"/>
  <c r="I21"/>
  <c r="N20"/>
  <c r="N19"/>
  <c r="I19"/>
  <c r="N18"/>
  <c r="I18"/>
  <c r="I17"/>
  <c r="N16"/>
  <c r="I16"/>
  <c r="N15"/>
  <c r="I15"/>
  <c r="M14"/>
  <c r="L14"/>
  <c r="I14"/>
  <c r="N13"/>
  <c r="J13"/>
  <c r="I13"/>
  <c r="N12"/>
  <c r="I12"/>
  <c r="N11"/>
  <c r="I11"/>
  <c r="L10"/>
  <c r="N10" s="1"/>
  <c r="I10"/>
  <c r="N9"/>
  <c r="I9"/>
  <c r="N8"/>
  <c r="I8"/>
  <c r="H8"/>
  <c r="N7"/>
  <c r="I7"/>
  <c r="N6"/>
  <c r="I6"/>
  <c r="H6"/>
  <c r="N5"/>
  <c r="N4"/>
  <c r="K4"/>
  <c r="I4"/>
  <c r="N3"/>
  <c r="N2"/>
  <c r="K2"/>
  <c r="M151" i="108"/>
  <c r="M152" s="1"/>
  <c r="N136"/>
  <c r="N135"/>
  <c r="N134"/>
  <c r="N133"/>
  <c r="N132"/>
  <c r="N131"/>
  <c r="N130"/>
  <c r="N129"/>
  <c r="N128"/>
  <c r="N127"/>
  <c r="I127"/>
  <c r="N126"/>
  <c r="I126"/>
  <c r="N125"/>
  <c r="N124"/>
  <c r="I124"/>
  <c r="N123"/>
  <c r="I123"/>
  <c r="N122"/>
  <c r="I122"/>
  <c r="N121"/>
  <c r="N120"/>
  <c r="N119"/>
  <c r="N118"/>
  <c r="M117"/>
  <c r="N117" s="1"/>
  <c r="H117"/>
  <c r="N116"/>
  <c r="N115"/>
  <c r="N114"/>
  <c r="N113"/>
  <c r="N112"/>
  <c r="N111"/>
  <c r="N110"/>
  <c r="I110"/>
  <c r="N109"/>
  <c r="I109"/>
  <c r="N108"/>
  <c r="M107"/>
  <c r="N107" s="1"/>
  <c r="N106"/>
  <c r="N105"/>
  <c r="N104"/>
  <c r="N103"/>
  <c r="J103"/>
  <c r="I103"/>
  <c r="N102"/>
  <c r="J102"/>
  <c r="N101"/>
  <c r="N100"/>
  <c r="N99"/>
  <c r="N98"/>
  <c r="N97"/>
  <c r="I97"/>
  <c r="N96"/>
  <c r="I96"/>
  <c r="N95"/>
  <c r="I95"/>
  <c r="N94"/>
  <c r="I94"/>
  <c r="N93"/>
  <c r="I93"/>
  <c r="N92"/>
  <c r="I92"/>
  <c r="N91"/>
  <c r="I91"/>
  <c r="N90"/>
  <c r="L90"/>
  <c r="I90"/>
  <c r="N89"/>
  <c r="L89"/>
  <c r="I89"/>
  <c r="N88"/>
  <c r="M87"/>
  <c r="N87" s="1"/>
  <c r="J87"/>
  <c r="I87"/>
  <c r="N86"/>
  <c r="I86"/>
  <c r="M85"/>
  <c r="N85" s="1"/>
  <c r="J85"/>
  <c r="I85"/>
  <c r="N84"/>
  <c r="J84"/>
  <c r="I84"/>
  <c r="N83"/>
  <c r="I83"/>
  <c r="N82"/>
  <c r="I82"/>
  <c r="N81"/>
  <c r="I81"/>
  <c r="I80"/>
  <c r="N79"/>
  <c r="N78"/>
  <c r="L78"/>
  <c r="I78"/>
  <c r="N77"/>
  <c r="J77"/>
  <c r="I77"/>
  <c r="N76"/>
  <c r="I76"/>
  <c r="N75"/>
  <c r="I75"/>
  <c r="N74"/>
  <c r="N73"/>
  <c r="N72"/>
  <c r="I72"/>
  <c r="N71"/>
  <c r="I71"/>
  <c r="N70"/>
  <c r="M70"/>
  <c r="N69"/>
  <c r="I69"/>
  <c r="N68"/>
  <c r="I68"/>
  <c r="N67"/>
  <c r="I67"/>
  <c r="N66"/>
  <c r="I66"/>
  <c r="N65"/>
  <c r="I65"/>
  <c r="N64"/>
  <c r="I64"/>
  <c r="N63"/>
  <c r="J63"/>
  <c r="I63"/>
  <c r="N62"/>
  <c r="J62"/>
  <c r="I62"/>
  <c r="N61"/>
  <c r="I61"/>
  <c r="N60"/>
  <c r="I60"/>
  <c r="N59"/>
  <c r="I59"/>
  <c r="N58"/>
  <c r="I58"/>
  <c r="N57"/>
  <c r="I57"/>
  <c r="N56"/>
  <c r="I56"/>
  <c r="N55"/>
  <c r="I55"/>
  <c r="M54"/>
  <c r="N54" s="1"/>
  <c r="I54"/>
  <c r="M53"/>
  <c r="N53" s="1"/>
  <c r="I53"/>
  <c r="N52"/>
  <c r="I52"/>
  <c r="N51"/>
  <c r="N50"/>
  <c r="I50"/>
  <c r="N49"/>
  <c r="I49"/>
  <c r="N48"/>
  <c r="I48"/>
  <c r="N47"/>
  <c r="I47"/>
  <c r="M46"/>
  <c r="N46" s="1"/>
  <c r="I46"/>
  <c r="M45"/>
  <c r="N45" s="1"/>
  <c r="I45"/>
  <c r="N44"/>
  <c r="I44"/>
  <c r="N43"/>
  <c r="I43"/>
  <c r="N42"/>
  <c r="I42"/>
  <c r="N41"/>
  <c r="I41"/>
  <c r="N40"/>
  <c r="N39"/>
  <c r="N38"/>
  <c r="I38"/>
  <c r="N37"/>
  <c r="I37"/>
  <c r="M36"/>
  <c r="N36" s="1"/>
  <c r="I36"/>
  <c r="N35"/>
  <c r="H35"/>
  <c r="N34"/>
  <c r="N33"/>
  <c r="I33"/>
  <c r="K33" s="1"/>
  <c r="M32"/>
  <c r="I32"/>
  <c r="H32"/>
  <c r="K32" s="1"/>
  <c r="I31"/>
  <c r="H31"/>
  <c r="N30"/>
  <c r="I30"/>
  <c r="H29"/>
  <c r="M28"/>
  <c r="N28" s="1"/>
  <c r="I28"/>
  <c r="N27"/>
  <c r="N26"/>
  <c r="I26"/>
  <c r="N25"/>
  <c r="I25"/>
  <c r="N24"/>
  <c r="I24"/>
  <c r="N23"/>
  <c r="I23"/>
  <c r="N22"/>
  <c r="I22"/>
  <c r="N21"/>
  <c r="I21"/>
  <c r="N20"/>
  <c r="N19"/>
  <c r="I19"/>
  <c r="N18"/>
  <c r="I18"/>
  <c r="I17"/>
  <c r="N16"/>
  <c r="I16"/>
  <c r="N15"/>
  <c r="I15"/>
  <c r="M14"/>
  <c r="L14"/>
  <c r="I14"/>
  <c r="N13"/>
  <c r="J13"/>
  <c r="I13"/>
  <c r="N12"/>
  <c r="I12"/>
  <c r="N11"/>
  <c r="I11"/>
  <c r="L10"/>
  <c r="N10" s="1"/>
  <c r="I10"/>
  <c r="N9"/>
  <c r="I9"/>
  <c r="N8"/>
  <c r="I8"/>
  <c r="H8"/>
  <c r="N7"/>
  <c r="I7"/>
  <c r="N6"/>
  <c r="I6"/>
  <c r="H6"/>
  <c r="N5"/>
  <c r="N4"/>
  <c r="K4"/>
  <c r="I4"/>
  <c r="N3"/>
  <c r="N2"/>
  <c r="K2"/>
  <c r="M15" i="107"/>
  <c r="L15"/>
  <c r="N138"/>
  <c r="X5" i="115" l="1"/>
  <c r="X96"/>
  <c r="X40"/>
  <c r="X120"/>
  <c r="N13" i="113"/>
  <c r="N144" s="1"/>
  <c r="N145" s="1"/>
  <c r="X75" i="115"/>
  <c r="W1"/>
  <c r="X91"/>
  <c r="X103"/>
  <c r="X49"/>
  <c r="X104"/>
  <c r="X68"/>
  <c r="X88"/>
  <c r="X107"/>
  <c r="X89"/>
  <c r="X90"/>
  <c r="X47"/>
  <c r="X67"/>
  <c r="X93"/>
  <c r="X136"/>
  <c r="X62"/>
  <c r="X60"/>
  <c r="X33"/>
  <c r="X52"/>
  <c r="X56"/>
  <c r="X63"/>
  <c r="X66"/>
  <c r="X51"/>
  <c r="X87"/>
  <c r="X92"/>
  <c r="X54"/>
  <c r="X53"/>
  <c r="X139"/>
  <c r="X114"/>
  <c r="X45"/>
  <c r="X59"/>
  <c r="X58"/>
  <c r="X130"/>
  <c r="X138"/>
  <c r="X64"/>
  <c r="X61"/>
  <c r="X134"/>
  <c r="X55"/>
  <c r="X131"/>
  <c r="X113"/>
  <c r="X35"/>
  <c r="X46"/>
  <c r="X95"/>
  <c r="X123"/>
  <c r="X44"/>
  <c r="X133"/>
  <c r="X41"/>
  <c r="X109"/>
  <c r="X117"/>
  <c r="X86"/>
  <c r="X42"/>
  <c r="X48"/>
  <c r="X31"/>
  <c r="X34"/>
  <c r="X37"/>
  <c r="X43"/>
  <c r="X39"/>
  <c r="X38"/>
  <c r="X32"/>
  <c r="X10"/>
  <c r="X6"/>
  <c r="X36"/>
  <c r="X24"/>
  <c r="X7"/>
  <c r="X50"/>
  <c r="X83"/>
  <c r="X26"/>
  <c r="X28"/>
  <c r="X23"/>
  <c r="X27"/>
  <c r="X30"/>
  <c r="X29"/>
  <c r="X85"/>
  <c r="X25"/>
  <c r="X14"/>
  <c r="X144"/>
  <c r="X82"/>
  <c r="X84"/>
  <c r="X13"/>
  <c r="X8"/>
  <c r="X20"/>
  <c r="X12"/>
  <c r="X15"/>
  <c r="X22"/>
  <c r="X21"/>
  <c r="X19"/>
  <c r="X16"/>
  <c r="X17"/>
  <c r="X11"/>
  <c r="X9"/>
  <c r="X18"/>
  <c r="R121"/>
  <c r="N13" i="114"/>
  <c r="N142" s="1"/>
  <c r="N143" s="1"/>
  <c r="N157"/>
  <c r="G37" i="35"/>
  <c r="K30" i="113"/>
  <c r="K29"/>
  <c r="N13" i="112"/>
  <c r="N143" s="1"/>
  <c r="N144" s="1"/>
  <c r="K30"/>
  <c r="K29"/>
  <c r="N13" i="111"/>
  <c r="N142" s="1"/>
  <c r="N143" s="1"/>
  <c r="K29"/>
  <c r="K30"/>
  <c r="K31" i="110"/>
  <c r="N14"/>
  <c r="K32"/>
  <c r="K32" i="109"/>
  <c r="N14"/>
  <c r="N141" s="1"/>
  <c r="N142" s="1"/>
  <c r="K31"/>
  <c r="N14" i="108"/>
  <c r="N138" s="1"/>
  <c r="N139" s="1"/>
  <c r="K31"/>
  <c r="N89" i="107"/>
  <c r="M89"/>
  <c r="M147" i="106"/>
  <c r="M153" s="1"/>
  <c r="N137" i="107"/>
  <c r="N136"/>
  <c r="N135"/>
  <c r="N134"/>
  <c r="N133"/>
  <c r="N132"/>
  <c r="N131"/>
  <c r="N130"/>
  <c r="I130"/>
  <c r="N129"/>
  <c r="J129"/>
  <c r="I129"/>
  <c r="N128"/>
  <c r="I128"/>
  <c r="N127"/>
  <c r="N126"/>
  <c r="I126"/>
  <c r="N125"/>
  <c r="I125"/>
  <c r="N124"/>
  <c r="I124"/>
  <c r="N123"/>
  <c r="N122"/>
  <c r="N121"/>
  <c r="N120"/>
  <c r="M119"/>
  <c r="N119" s="1"/>
  <c r="H119"/>
  <c r="N118"/>
  <c r="N117"/>
  <c r="N116"/>
  <c r="N115"/>
  <c r="N114"/>
  <c r="N113"/>
  <c r="N112"/>
  <c r="I112"/>
  <c r="N111"/>
  <c r="I111"/>
  <c r="N110"/>
  <c r="M109"/>
  <c r="N109" s="1"/>
  <c r="N108"/>
  <c r="N107"/>
  <c r="N106"/>
  <c r="N105"/>
  <c r="J105"/>
  <c r="I105"/>
  <c r="N104"/>
  <c r="J104"/>
  <c r="N103"/>
  <c r="N102"/>
  <c r="N101"/>
  <c r="N100"/>
  <c r="N99"/>
  <c r="I99"/>
  <c r="N98"/>
  <c r="I98"/>
  <c r="N97"/>
  <c r="I97"/>
  <c r="N96"/>
  <c r="I96"/>
  <c r="N95"/>
  <c r="I95"/>
  <c r="N94"/>
  <c r="I94"/>
  <c r="N93"/>
  <c r="I93"/>
  <c r="N92"/>
  <c r="L92"/>
  <c r="I92"/>
  <c r="N91"/>
  <c r="L91"/>
  <c r="I91"/>
  <c r="N90"/>
  <c r="J89"/>
  <c r="I89"/>
  <c r="N88"/>
  <c r="I88"/>
  <c r="M87"/>
  <c r="N87" s="1"/>
  <c r="J87"/>
  <c r="I87"/>
  <c r="N86"/>
  <c r="J86"/>
  <c r="I86"/>
  <c r="N85"/>
  <c r="I85"/>
  <c r="N84"/>
  <c r="I84"/>
  <c r="N83"/>
  <c r="I83"/>
  <c r="I82"/>
  <c r="N81"/>
  <c r="N80"/>
  <c r="L80"/>
  <c r="I80"/>
  <c r="N79"/>
  <c r="J79"/>
  <c r="I79"/>
  <c r="N78"/>
  <c r="I78"/>
  <c r="N77"/>
  <c r="I77"/>
  <c r="N76"/>
  <c r="N75"/>
  <c r="N74"/>
  <c r="I74"/>
  <c r="N73"/>
  <c r="I73"/>
  <c r="N72"/>
  <c r="M72"/>
  <c r="N71"/>
  <c r="I71"/>
  <c r="N70"/>
  <c r="I70"/>
  <c r="N69"/>
  <c r="I69"/>
  <c r="N68"/>
  <c r="I68"/>
  <c r="N67"/>
  <c r="I67"/>
  <c r="N66"/>
  <c r="I66"/>
  <c r="N65"/>
  <c r="I65"/>
  <c r="N64"/>
  <c r="J64"/>
  <c r="I64"/>
  <c r="N63"/>
  <c r="J63"/>
  <c r="I63"/>
  <c r="N62"/>
  <c r="I62"/>
  <c r="N61"/>
  <c r="I61"/>
  <c r="N60"/>
  <c r="I60"/>
  <c r="N59"/>
  <c r="I59"/>
  <c r="N58"/>
  <c r="I58"/>
  <c r="N57"/>
  <c r="I57"/>
  <c r="N56"/>
  <c r="I56"/>
  <c r="M55"/>
  <c r="N55" s="1"/>
  <c r="I55"/>
  <c r="M54"/>
  <c r="N54" s="1"/>
  <c r="I54"/>
  <c r="N53"/>
  <c r="I53"/>
  <c r="N52"/>
  <c r="N51"/>
  <c r="I51"/>
  <c r="N50"/>
  <c r="I50"/>
  <c r="N49"/>
  <c r="I49"/>
  <c r="N48"/>
  <c r="I48"/>
  <c r="M47"/>
  <c r="N47" s="1"/>
  <c r="I47"/>
  <c r="M46"/>
  <c r="N46" s="1"/>
  <c r="I46"/>
  <c r="N45"/>
  <c r="I45"/>
  <c r="N44"/>
  <c r="I44"/>
  <c r="N43"/>
  <c r="I43"/>
  <c r="N42"/>
  <c r="I42"/>
  <c r="N41"/>
  <c r="N40"/>
  <c r="N39"/>
  <c r="I39"/>
  <c r="N38"/>
  <c r="I38"/>
  <c r="M37"/>
  <c r="N37" s="1"/>
  <c r="I37"/>
  <c r="N36"/>
  <c r="H36"/>
  <c r="N35"/>
  <c r="N34"/>
  <c r="I34"/>
  <c r="K34" s="1"/>
  <c r="M33"/>
  <c r="I33"/>
  <c r="H33"/>
  <c r="I32"/>
  <c r="H32"/>
  <c r="N31"/>
  <c r="I31"/>
  <c r="H30"/>
  <c r="M29"/>
  <c r="N29" s="1"/>
  <c r="I29"/>
  <c r="N28"/>
  <c r="N27"/>
  <c r="I27"/>
  <c r="N26"/>
  <c r="I26"/>
  <c r="N25"/>
  <c r="I25"/>
  <c r="N24"/>
  <c r="I24"/>
  <c r="N23"/>
  <c r="I23"/>
  <c r="N22"/>
  <c r="I22"/>
  <c r="N21"/>
  <c r="N20"/>
  <c r="I20"/>
  <c r="N19"/>
  <c r="I19"/>
  <c r="I18"/>
  <c r="N17"/>
  <c r="I17"/>
  <c r="N16"/>
  <c r="I16"/>
  <c r="N15"/>
  <c r="I15"/>
  <c r="N14"/>
  <c r="J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N140" s="1"/>
  <c r="K2"/>
  <c r="M152" i="106"/>
  <c r="M151"/>
  <c r="M37"/>
  <c r="N37" s="1"/>
  <c r="N139"/>
  <c r="M148"/>
  <c r="N143" i="105"/>
  <c r="N142"/>
  <c r="N138" i="106"/>
  <c r="N137"/>
  <c r="N136"/>
  <c r="N135"/>
  <c r="N134"/>
  <c r="N133"/>
  <c r="N132"/>
  <c r="I132"/>
  <c r="N131"/>
  <c r="J131"/>
  <c r="I131"/>
  <c r="N130"/>
  <c r="I130"/>
  <c r="N129"/>
  <c r="N128"/>
  <c r="I128"/>
  <c r="N127"/>
  <c r="I127"/>
  <c r="N126"/>
  <c r="I126"/>
  <c r="N125"/>
  <c r="N124"/>
  <c r="N123"/>
  <c r="N122"/>
  <c r="M121"/>
  <c r="N121" s="1"/>
  <c r="H121"/>
  <c r="N120"/>
  <c r="N119"/>
  <c r="N118"/>
  <c r="N117"/>
  <c r="N116"/>
  <c r="N115"/>
  <c r="N114"/>
  <c r="I114"/>
  <c r="N113"/>
  <c r="I113"/>
  <c r="N112"/>
  <c r="M111"/>
  <c r="N111" s="1"/>
  <c r="N110"/>
  <c r="N109"/>
  <c r="N108"/>
  <c r="N107"/>
  <c r="J107"/>
  <c r="I107"/>
  <c r="N106"/>
  <c r="J106"/>
  <c r="N105"/>
  <c r="N104"/>
  <c r="N103"/>
  <c r="N102"/>
  <c r="N101"/>
  <c r="I101"/>
  <c r="N100"/>
  <c r="I100"/>
  <c r="N99"/>
  <c r="I99"/>
  <c r="N98"/>
  <c r="I98"/>
  <c r="N97"/>
  <c r="I97"/>
  <c r="N96"/>
  <c r="I96"/>
  <c r="N95"/>
  <c r="I95"/>
  <c r="N94"/>
  <c r="L94"/>
  <c r="I94"/>
  <c r="N93"/>
  <c r="L93"/>
  <c r="I93"/>
  <c r="N92"/>
  <c r="J91"/>
  <c r="I91"/>
  <c r="N90"/>
  <c r="I90"/>
  <c r="M89"/>
  <c r="N89" s="1"/>
  <c r="J89"/>
  <c r="I89"/>
  <c r="N88"/>
  <c r="J88"/>
  <c r="I88"/>
  <c r="N87"/>
  <c r="I87"/>
  <c r="N86"/>
  <c r="I86"/>
  <c r="N85"/>
  <c r="I85"/>
  <c r="I84"/>
  <c r="N83"/>
  <c r="N82"/>
  <c r="L82"/>
  <c r="I82"/>
  <c r="N81"/>
  <c r="J81"/>
  <c r="I81"/>
  <c r="N80"/>
  <c r="I80"/>
  <c r="N79"/>
  <c r="I79"/>
  <c r="N78"/>
  <c r="N77"/>
  <c r="N76"/>
  <c r="N75"/>
  <c r="I75"/>
  <c r="N74"/>
  <c r="I74"/>
  <c r="N73"/>
  <c r="I73"/>
  <c r="N72"/>
  <c r="M72"/>
  <c r="N71"/>
  <c r="I71"/>
  <c r="N70"/>
  <c r="I70"/>
  <c r="N69"/>
  <c r="I69"/>
  <c r="N68"/>
  <c r="I68"/>
  <c r="N67"/>
  <c r="I67"/>
  <c r="N66"/>
  <c r="I66"/>
  <c r="N65"/>
  <c r="I65"/>
  <c r="N64"/>
  <c r="J64"/>
  <c r="I64"/>
  <c r="N63"/>
  <c r="J63"/>
  <c r="I63"/>
  <c r="N62"/>
  <c r="I62"/>
  <c r="N61"/>
  <c r="I61"/>
  <c r="N60"/>
  <c r="I60"/>
  <c r="N59"/>
  <c r="I59"/>
  <c r="N58"/>
  <c r="I58"/>
  <c r="N57"/>
  <c r="I57"/>
  <c r="N56"/>
  <c r="I56"/>
  <c r="M55"/>
  <c r="N55" s="1"/>
  <c r="I55"/>
  <c r="M54"/>
  <c r="N54" s="1"/>
  <c r="I54"/>
  <c r="N53"/>
  <c r="I53"/>
  <c r="N52"/>
  <c r="N51"/>
  <c r="I51"/>
  <c r="N50"/>
  <c r="I50"/>
  <c r="N49"/>
  <c r="I49"/>
  <c r="N48"/>
  <c r="I48"/>
  <c r="M47"/>
  <c r="N47" s="1"/>
  <c r="I47"/>
  <c r="M46"/>
  <c r="N46" s="1"/>
  <c r="I46"/>
  <c r="N45"/>
  <c r="I45"/>
  <c r="N44"/>
  <c r="I44"/>
  <c r="N43"/>
  <c r="I43"/>
  <c r="N42"/>
  <c r="I42"/>
  <c r="N41"/>
  <c r="N40"/>
  <c r="N39"/>
  <c r="I39"/>
  <c r="N38"/>
  <c r="I38"/>
  <c r="I37"/>
  <c r="N36"/>
  <c r="H36"/>
  <c r="N35"/>
  <c r="N34"/>
  <c r="I34"/>
  <c r="K34" s="1"/>
  <c r="M33"/>
  <c r="I33"/>
  <c r="H33"/>
  <c r="I32"/>
  <c r="H32"/>
  <c r="N31"/>
  <c r="I31"/>
  <c r="H30"/>
  <c r="M29"/>
  <c r="N29" s="1"/>
  <c r="I29"/>
  <c r="N28"/>
  <c r="N27"/>
  <c r="I27"/>
  <c r="N26"/>
  <c r="I26"/>
  <c r="N25"/>
  <c r="I25"/>
  <c r="N24"/>
  <c r="I24"/>
  <c r="N23"/>
  <c r="I23"/>
  <c r="N22"/>
  <c r="I22"/>
  <c r="N21"/>
  <c r="N20"/>
  <c r="I20"/>
  <c r="N19"/>
  <c r="I19"/>
  <c r="I18"/>
  <c r="N17"/>
  <c r="I17"/>
  <c r="N16"/>
  <c r="I16"/>
  <c r="N15"/>
  <c r="I15"/>
  <c r="N14"/>
  <c r="J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K2"/>
  <c r="N84" i="105"/>
  <c r="N149" i="104"/>
  <c r="N141" i="105"/>
  <c r="N140"/>
  <c r="N139"/>
  <c r="N138"/>
  <c r="N137"/>
  <c r="N136"/>
  <c r="N135"/>
  <c r="I135"/>
  <c r="N134"/>
  <c r="J134"/>
  <c r="I134"/>
  <c r="N133"/>
  <c r="I133"/>
  <c r="N132"/>
  <c r="N131"/>
  <c r="I131"/>
  <c r="N130"/>
  <c r="I130"/>
  <c r="N129"/>
  <c r="I129"/>
  <c r="N128"/>
  <c r="N127"/>
  <c r="N126"/>
  <c r="N125"/>
  <c r="N124"/>
  <c r="M124"/>
  <c r="H124"/>
  <c r="N123"/>
  <c r="N122"/>
  <c r="N121"/>
  <c r="N120"/>
  <c r="N119"/>
  <c r="N118"/>
  <c r="N117"/>
  <c r="I117"/>
  <c r="N116"/>
  <c r="I116"/>
  <c r="N115"/>
  <c r="M114"/>
  <c r="N114" s="1"/>
  <c r="N113"/>
  <c r="N112"/>
  <c r="N111"/>
  <c r="N110"/>
  <c r="J110"/>
  <c r="I110"/>
  <c r="N109"/>
  <c r="J109"/>
  <c r="N108"/>
  <c r="N107"/>
  <c r="N106"/>
  <c r="N105"/>
  <c r="N104"/>
  <c r="I104"/>
  <c r="N103"/>
  <c r="I103"/>
  <c r="N102"/>
  <c r="I102"/>
  <c r="N101"/>
  <c r="I101"/>
  <c r="N100"/>
  <c r="I100"/>
  <c r="N99"/>
  <c r="I99"/>
  <c r="N98"/>
  <c r="I98"/>
  <c r="N97"/>
  <c r="L97"/>
  <c r="I97"/>
  <c r="N96"/>
  <c r="L96"/>
  <c r="I96"/>
  <c r="N95"/>
  <c r="J94"/>
  <c r="I94"/>
  <c r="N93"/>
  <c r="I93"/>
  <c r="M92"/>
  <c r="N92" s="1"/>
  <c r="J92"/>
  <c r="I92"/>
  <c r="M91"/>
  <c r="N91" s="1"/>
  <c r="J91"/>
  <c r="I91"/>
  <c r="N90"/>
  <c r="I90"/>
  <c r="N89"/>
  <c r="I89"/>
  <c r="N88"/>
  <c r="I88"/>
  <c r="I87"/>
  <c r="N86"/>
  <c r="N85"/>
  <c r="L85"/>
  <c r="I85"/>
  <c r="J84"/>
  <c r="I84"/>
  <c r="N83"/>
  <c r="I83"/>
  <c r="N82"/>
  <c r="I82"/>
  <c r="N81"/>
  <c r="N80"/>
  <c r="N79"/>
  <c r="I79"/>
  <c r="N78"/>
  <c r="I78"/>
  <c r="N77"/>
  <c r="I77"/>
  <c r="N76"/>
  <c r="N75"/>
  <c r="I75"/>
  <c r="N74"/>
  <c r="I74"/>
  <c r="N73"/>
  <c r="I73"/>
  <c r="N72"/>
  <c r="M72"/>
  <c r="N71"/>
  <c r="I71"/>
  <c r="N70"/>
  <c r="I70"/>
  <c r="N69"/>
  <c r="I69"/>
  <c r="N68"/>
  <c r="I68"/>
  <c r="N67"/>
  <c r="I67"/>
  <c r="N66"/>
  <c r="I66"/>
  <c r="N65"/>
  <c r="I65"/>
  <c r="N64"/>
  <c r="J64"/>
  <c r="I64"/>
  <c r="N63"/>
  <c r="J63"/>
  <c r="I63"/>
  <c r="N62"/>
  <c r="I62"/>
  <c r="N61"/>
  <c r="I61"/>
  <c r="N60"/>
  <c r="I60"/>
  <c r="N59"/>
  <c r="I59"/>
  <c r="N58"/>
  <c r="I58"/>
  <c r="N57"/>
  <c r="I57"/>
  <c r="N56"/>
  <c r="I56"/>
  <c r="M55"/>
  <c r="N55" s="1"/>
  <c r="I55"/>
  <c r="M54"/>
  <c r="N54" s="1"/>
  <c r="I54"/>
  <c r="N53"/>
  <c r="I53"/>
  <c r="N52"/>
  <c r="N51"/>
  <c r="I51"/>
  <c r="N50"/>
  <c r="I50"/>
  <c r="N49"/>
  <c r="I49"/>
  <c r="N48"/>
  <c r="I48"/>
  <c r="N47"/>
  <c r="M47"/>
  <c r="I47"/>
  <c r="M46"/>
  <c r="N46" s="1"/>
  <c r="I46"/>
  <c r="N45"/>
  <c r="I45"/>
  <c r="N44"/>
  <c r="I44"/>
  <c r="N43"/>
  <c r="I43"/>
  <c r="N42"/>
  <c r="I42"/>
  <c r="N41"/>
  <c r="N40"/>
  <c r="N39"/>
  <c r="I39"/>
  <c r="N38"/>
  <c r="I38"/>
  <c r="N37"/>
  <c r="I37"/>
  <c r="N36"/>
  <c r="H36"/>
  <c r="N35"/>
  <c r="N34"/>
  <c r="I34"/>
  <c r="K34" s="1"/>
  <c r="M33"/>
  <c r="I33"/>
  <c r="H33"/>
  <c r="K33" s="1"/>
  <c r="K32"/>
  <c r="I32"/>
  <c r="H32"/>
  <c r="N31"/>
  <c r="I31"/>
  <c r="H30"/>
  <c r="M29"/>
  <c r="N29" s="1"/>
  <c r="I29"/>
  <c r="N28"/>
  <c r="N27"/>
  <c r="I27"/>
  <c r="N26"/>
  <c r="I26"/>
  <c r="N25"/>
  <c r="I25"/>
  <c r="N24"/>
  <c r="I24"/>
  <c r="N23"/>
  <c r="I23"/>
  <c r="N22"/>
  <c r="I22"/>
  <c r="N21"/>
  <c r="N20"/>
  <c r="I20"/>
  <c r="N19"/>
  <c r="I19"/>
  <c r="I18"/>
  <c r="N17"/>
  <c r="I17"/>
  <c r="N16"/>
  <c r="I16"/>
  <c r="N15"/>
  <c r="I15"/>
  <c r="N14"/>
  <c r="J14"/>
  <c r="I14"/>
  <c r="N13"/>
  <c r="I13"/>
  <c r="N12"/>
  <c r="I12"/>
  <c r="N11"/>
  <c r="L1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N144" s="1"/>
  <c r="N145" s="1"/>
  <c r="K2"/>
  <c r="N152" i="104"/>
  <c r="N142"/>
  <c r="N141"/>
  <c r="N140"/>
  <c r="N139"/>
  <c r="N138"/>
  <c r="N137"/>
  <c r="N150"/>
  <c r="N136"/>
  <c r="N135"/>
  <c r="I135"/>
  <c r="N134"/>
  <c r="J134"/>
  <c r="I134"/>
  <c r="N133"/>
  <c r="I133"/>
  <c r="N132"/>
  <c r="N131"/>
  <c r="I131"/>
  <c r="N130"/>
  <c r="I130"/>
  <c r="N129"/>
  <c r="I129"/>
  <c r="N128"/>
  <c r="N127"/>
  <c r="N126"/>
  <c r="N125"/>
  <c r="M124"/>
  <c r="N124" s="1"/>
  <c r="H124"/>
  <c r="N123"/>
  <c r="N122"/>
  <c r="N121"/>
  <c r="N120"/>
  <c r="N119"/>
  <c r="N118"/>
  <c r="N117"/>
  <c r="I117"/>
  <c r="N116"/>
  <c r="I116"/>
  <c r="N115"/>
  <c r="M114"/>
  <c r="N114" s="1"/>
  <c r="N113"/>
  <c r="N112"/>
  <c r="N111"/>
  <c r="N110"/>
  <c r="J110"/>
  <c r="I110"/>
  <c r="N109"/>
  <c r="J109"/>
  <c r="N108"/>
  <c r="N107"/>
  <c r="N106"/>
  <c r="N105"/>
  <c r="N104"/>
  <c r="I104"/>
  <c r="N103"/>
  <c r="I103"/>
  <c r="N102"/>
  <c r="I102"/>
  <c r="N101"/>
  <c r="I101"/>
  <c r="N100"/>
  <c r="I100"/>
  <c r="N99"/>
  <c r="I99"/>
  <c r="N98"/>
  <c r="I98"/>
  <c r="N97"/>
  <c r="L97"/>
  <c r="I97"/>
  <c r="N96"/>
  <c r="L96"/>
  <c r="I96"/>
  <c r="N95"/>
  <c r="J94"/>
  <c r="I94"/>
  <c r="N93"/>
  <c r="I93"/>
  <c r="M92"/>
  <c r="N92" s="1"/>
  <c r="J92"/>
  <c r="I92"/>
  <c r="M91"/>
  <c r="N91" s="1"/>
  <c r="J91"/>
  <c r="I91"/>
  <c r="N90"/>
  <c r="I90"/>
  <c r="N89"/>
  <c r="I89"/>
  <c r="N88"/>
  <c r="I88"/>
  <c r="I87"/>
  <c r="N86"/>
  <c r="N85"/>
  <c r="L85"/>
  <c r="I85"/>
  <c r="N84"/>
  <c r="J84"/>
  <c r="I84"/>
  <c r="N83"/>
  <c r="I83"/>
  <c r="N82"/>
  <c r="I82"/>
  <c r="N81"/>
  <c r="N80"/>
  <c r="N79"/>
  <c r="I79"/>
  <c r="N78"/>
  <c r="I78"/>
  <c r="N77"/>
  <c r="I77"/>
  <c r="N76"/>
  <c r="N75"/>
  <c r="I75"/>
  <c r="N74"/>
  <c r="I74"/>
  <c r="N73"/>
  <c r="I73"/>
  <c r="N72"/>
  <c r="M72"/>
  <c r="N71"/>
  <c r="I71"/>
  <c r="N70"/>
  <c r="I70"/>
  <c r="N69"/>
  <c r="I69"/>
  <c r="N68"/>
  <c r="I68"/>
  <c r="N67"/>
  <c r="I67"/>
  <c r="N66"/>
  <c r="I66"/>
  <c r="N65"/>
  <c r="I65"/>
  <c r="N64"/>
  <c r="J64"/>
  <c r="I64"/>
  <c r="N63"/>
  <c r="J63"/>
  <c r="I63"/>
  <c r="N62"/>
  <c r="I62"/>
  <c r="N61"/>
  <c r="I61"/>
  <c r="N60"/>
  <c r="I60"/>
  <c r="N59"/>
  <c r="I59"/>
  <c r="N58"/>
  <c r="I58"/>
  <c r="N57"/>
  <c r="I57"/>
  <c r="N56"/>
  <c r="I56"/>
  <c r="M55"/>
  <c r="N55" s="1"/>
  <c r="I55"/>
  <c r="M54"/>
  <c r="N54" s="1"/>
  <c r="I54"/>
  <c r="N53"/>
  <c r="I53"/>
  <c r="N52"/>
  <c r="N51"/>
  <c r="I51"/>
  <c r="N50"/>
  <c r="I50"/>
  <c r="N49"/>
  <c r="I49"/>
  <c r="N48"/>
  <c r="I48"/>
  <c r="M47"/>
  <c r="N47" s="1"/>
  <c r="I47"/>
  <c r="M46"/>
  <c r="N46" s="1"/>
  <c r="I46"/>
  <c r="N45"/>
  <c r="I45"/>
  <c r="N44"/>
  <c r="I44"/>
  <c r="N43"/>
  <c r="I43"/>
  <c r="N42"/>
  <c r="I42"/>
  <c r="N41"/>
  <c r="N40"/>
  <c r="N39"/>
  <c r="I39"/>
  <c r="N38"/>
  <c r="I38"/>
  <c r="N37"/>
  <c r="I37"/>
  <c r="N36"/>
  <c r="H36"/>
  <c r="N35"/>
  <c r="N34"/>
  <c r="I34"/>
  <c r="K34" s="1"/>
  <c r="M33"/>
  <c r="I33"/>
  <c r="H33"/>
  <c r="I32"/>
  <c r="H32"/>
  <c r="N31"/>
  <c r="I31"/>
  <c r="H30"/>
  <c r="M29"/>
  <c r="N29" s="1"/>
  <c r="I29"/>
  <c r="N28"/>
  <c r="N27"/>
  <c r="I27"/>
  <c r="N26"/>
  <c r="I26"/>
  <c r="N25"/>
  <c r="I25"/>
  <c r="N24"/>
  <c r="I24"/>
  <c r="N23"/>
  <c r="I23"/>
  <c r="N22"/>
  <c r="I22"/>
  <c r="N21"/>
  <c r="N20"/>
  <c r="I20"/>
  <c r="N19"/>
  <c r="I19"/>
  <c r="I18"/>
  <c r="N17"/>
  <c r="I17"/>
  <c r="N16"/>
  <c r="I16"/>
  <c r="N15"/>
  <c r="I15"/>
  <c r="N14"/>
  <c r="J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N144" s="1"/>
  <c r="N145" s="1"/>
  <c r="K2"/>
  <c r="N140" i="103"/>
  <c r="N141"/>
  <c r="L146"/>
  <c r="N139"/>
  <c r="N138"/>
  <c r="N137"/>
  <c r="N136"/>
  <c r="I137"/>
  <c r="J136"/>
  <c r="I136"/>
  <c r="N135"/>
  <c r="I135"/>
  <c r="N134"/>
  <c r="N133"/>
  <c r="I133"/>
  <c r="N132"/>
  <c r="I132"/>
  <c r="N131"/>
  <c r="I131"/>
  <c r="N130"/>
  <c r="N129"/>
  <c r="N128"/>
  <c r="N127"/>
  <c r="M126"/>
  <c r="N126" s="1"/>
  <c r="H126"/>
  <c r="N125"/>
  <c r="N124"/>
  <c r="N123"/>
  <c r="N122"/>
  <c r="N121"/>
  <c r="N120"/>
  <c r="N119"/>
  <c r="I119"/>
  <c r="N118"/>
  <c r="I118"/>
  <c r="N117"/>
  <c r="M116"/>
  <c r="N116" s="1"/>
  <c r="N115"/>
  <c r="N114"/>
  <c r="N113"/>
  <c r="N112"/>
  <c r="J112"/>
  <c r="I112"/>
  <c r="N111"/>
  <c r="J111"/>
  <c r="N110"/>
  <c r="N109"/>
  <c r="N108"/>
  <c r="N107"/>
  <c r="N106"/>
  <c r="I106"/>
  <c r="N105"/>
  <c r="I105"/>
  <c r="N104"/>
  <c r="I104"/>
  <c r="N103"/>
  <c r="I103"/>
  <c r="N102"/>
  <c r="I102"/>
  <c r="N101"/>
  <c r="I101"/>
  <c r="N100"/>
  <c r="I100"/>
  <c r="N99"/>
  <c r="L99"/>
  <c r="I99"/>
  <c r="N98"/>
  <c r="L98"/>
  <c r="I98"/>
  <c r="N97"/>
  <c r="J96"/>
  <c r="I96"/>
  <c r="N95"/>
  <c r="I95"/>
  <c r="M94"/>
  <c r="N94" s="1"/>
  <c r="J94"/>
  <c r="I94"/>
  <c r="M93"/>
  <c r="N93" s="1"/>
  <c r="J93"/>
  <c r="I93"/>
  <c r="N92"/>
  <c r="I92"/>
  <c r="N91"/>
  <c r="I91"/>
  <c r="N90"/>
  <c r="I90"/>
  <c r="I89"/>
  <c r="N88"/>
  <c r="N87"/>
  <c r="L87"/>
  <c r="I87"/>
  <c r="N86"/>
  <c r="J86"/>
  <c r="I86"/>
  <c r="N85"/>
  <c r="I85"/>
  <c r="N84"/>
  <c r="I84"/>
  <c r="N83"/>
  <c r="N82"/>
  <c r="N81"/>
  <c r="I81"/>
  <c r="N80"/>
  <c r="I80"/>
  <c r="N79"/>
  <c r="I79"/>
  <c r="N78"/>
  <c r="N77"/>
  <c r="I77"/>
  <c r="N76"/>
  <c r="I76"/>
  <c r="N75"/>
  <c r="I75"/>
  <c r="N74"/>
  <c r="I74"/>
  <c r="N73"/>
  <c r="M73"/>
  <c r="N72"/>
  <c r="I72"/>
  <c r="N71"/>
  <c r="I71"/>
  <c r="N70"/>
  <c r="I70"/>
  <c r="N69"/>
  <c r="I69"/>
  <c r="N68"/>
  <c r="I68"/>
  <c r="N67"/>
  <c r="I67"/>
  <c r="N66"/>
  <c r="I66"/>
  <c r="N65"/>
  <c r="J65"/>
  <c r="I65"/>
  <c r="N64"/>
  <c r="J64"/>
  <c r="I64"/>
  <c r="N63"/>
  <c r="I63"/>
  <c r="N62"/>
  <c r="I62"/>
  <c r="N61"/>
  <c r="I61"/>
  <c r="N60"/>
  <c r="I60"/>
  <c r="N59"/>
  <c r="I59"/>
  <c r="N58"/>
  <c r="I58"/>
  <c r="N57"/>
  <c r="I57"/>
  <c r="M56"/>
  <c r="N56" s="1"/>
  <c r="I56"/>
  <c r="M55"/>
  <c r="N55" s="1"/>
  <c r="I55"/>
  <c r="N54"/>
  <c r="I54"/>
  <c r="N53"/>
  <c r="N52"/>
  <c r="I52"/>
  <c r="N51"/>
  <c r="I51"/>
  <c r="N50"/>
  <c r="I50"/>
  <c r="N49"/>
  <c r="I49"/>
  <c r="M48"/>
  <c r="N48" s="1"/>
  <c r="I48"/>
  <c r="M47"/>
  <c r="N47" s="1"/>
  <c r="I47"/>
  <c r="N46"/>
  <c r="I46"/>
  <c r="N45"/>
  <c r="I45"/>
  <c r="N44"/>
  <c r="I44"/>
  <c r="N43"/>
  <c r="I43"/>
  <c r="N42"/>
  <c r="N41"/>
  <c r="N40"/>
  <c r="I40"/>
  <c r="N39"/>
  <c r="I39"/>
  <c r="N38"/>
  <c r="I38"/>
  <c r="N37"/>
  <c r="H37"/>
  <c r="N36"/>
  <c r="N35"/>
  <c r="I35"/>
  <c r="K35" s="1"/>
  <c r="M34"/>
  <c r="I34"/>
  <c r="H34"/>
  <c r="I33"/>
  <c r="H33"/>
  <c r="N32"/>
  <c r="I32"/>
  <c r="H31"/>
  <c r="M30"/>
  <c r="N30" s="1"/>
  <c r="I30"/>
  <c r="N29"/>
  <c r="N28"/>
  <c r="I28"/>
  <c r="N27"/>
  <c r="I27"/>
  <c r="N26"/>
  <c r="I26"/>
  <c r="N25"/>
  <c r="I25"/>
  <c r="N24"/>
  <c r="I24"/>
  <c r="N23"/>
  <c r="I23"/>
  <c r="N22"/>
  <c r="N21"/>
  <c r="I21"/>
  <c r="N20"/>
  <c r="I20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N142" s="1"/>
  <c r="N143" s="1"/>
  <c r="K2"/>
  <c r="N138" i="102"/>
  <c r="N137"/>
  <c r="N136"/>
  <c r="I137"/>
  <c r="I136"/>
  <c r="J136"/>
  <c r="M144"/>
  <c r="N135"/>
  <c r="I135"/>
  <c r="N134"/>
  <c r="N133"/>
  <c r="I133"/>
  <c r="N132"/>
  <c r="I132"/>
  <c r="N131"/>
  <c r="I131"/>
  <c r="N130"/>
  <c r="N129"/>
  <c r="N128"/>
  <c r="N127"/>
  <c r="M126"/>
  <c r="N126" s="1"/>
  <c r="H126"/>
  <c r="N125"/>
  <c r="N124"/>
  <c r="N123"/>
  <c r="N122"/>
  <c r="N121"/>
  <c r="N120"/>
  <c r="N119"/>
  <c r="I119"/>
  <c r="N118"/>
  <c r="I118"/>
  <c r="N117"/>
  <c r="M116"/>
  <c r="N116" s="1"/>
  <c r="N115"/>
  <c r="N114"/>
  <c r="N113"/>
  <c r="N112"/>
  <c r="J112"/>
  <c r="I112"/>
  <c r="N111"/>
  <c r="J111"/>
  <c r="N110"/>
  <c r="N109"/>
  <c r="N108"/>
  <c r="N107"/>
  <c r="N106"/>
  <c r="I106"/>
  <c r="N105"/>
  <c r="I105"/>
  <c r="N104"/>
  <c r="I104"/>
  <c r="N103"/>
  <c r="I103"/>
  <c r="N102"/>
  <c r="I102"/>
  <c r="N101"/>
  <c r="I101"/>
  <c r="N100"/>
  <c r="I100"/>
  <c r="N99"/>
  <c r="L99"/>
  <c r="I99"/>
  <c r="N98"/>
  <c r="L98"/>
  <c r="I98"/>
  <c r="N97"/>
  <c r="J96"/>
  <c r="I96"/>
  <c r="N95"/>
  <c r="I95"/>
  <c r="M94"/>
  <c r="N94" s="1"/>
  <c r="J94"/>
  <c r="I94"/>
  <c r="M93"/>
  <c r="N93" s="1"/>
  <c r="J93"/>
  <c r="I93"/>
  <c r="N92"/>
  <c r="I92"/>
  <c r="N91"/>
  <c r="I91"/>
  <c r="N90"/>
  <c r="I90"/>
  <c r="I89"/>
  <c r="N88"/>
  <c r="N87"/>
  <c r="L87"/>
  <c r="I87"/>
  <c r="N86"/>
  <c r="J86"/>
  <c r="I86"/>
  <c r="N85"/>
  <c r="I85"/>
  <c r="N84"/>
  <c r="I84"/>
  <c r="N83"/>
  <c r="N82"/>
  <c r="N81"/>
  <c r="I81"/>
  <c r="N80"/>
  <c r="I80"/>
  <c r="N79"/>
  <c r="I79"/>
  <c r="N78"/>
  <c r="N77"/>
  <c r="I77"/>
  <c r="N76"/>
  <c r="I76"/>
  <c r="N75"/>
  <c r="I75"/>
  <c r="N74"/>
  <c r="I74"/>
  <c r="N73"/>
  <c r="M73"/>
  <c r="N72"/>
  <c r="I72"/>
  <c r="N71"/>
  <c r="I71"/>
  <c r="N70"/>
  <c r="I70"/>
  <c r="N69"/>
  <c r="I69"/>
  <c r="N68"/>
  <c r="I68"/>
  <c r="N67"/>
  <c r="I67"/>
  <c r="N66"/>
  <c r="I66"/>
  <c r="N65"/>
  <c r="J65"/>
  <c r="I65"/>
  <c r="N64"/>
  <c r="J64"/>
  <c r="I64"/>
  <c r="N63"/>
  <c r="I63"/>
  <c r="N62"/>
  <c r="I62"/>
  <c r="N61"/>
  <c r="I61"/>
  <c r="N60"/>
  <c r="I60"/>
  <c r="N59"/>
  <c r="I59"/>
  <c r="N58"/>
  <c r="I58"/>
  <c r="N57"/>
  <c r="I57"/>
  <c r="M56"/>
  <c r="N56" s="1"/>
  <c r="I56"/>
  <c r="M55"/>
  <c r="N55" s="1"/>
  <c r="I55"/>
  <c r="N54"/>
  <c r="I54"/>
  <c r="N53"/>
  <c r="N52"/>
  <c r="I52"/>
  <c r="N51"/>
  <c r="I51"/>
  <c r="N50"/>
  <c r="I50"/>
  <c r="N49"/>
  <c r="I49"/>
  <c r="M48"/>
  <c r="N48" s="1"/>
  <c r="I48"/>
  <c r="M47"/>
  <c r="N47" s="1"/>
  <c r="I47"/>
  <c r="N46"/>
  <c r="I46"/>
  <c r="N45"/>
  <c r="I45"/>
  <c r="N44"/>
  <c r="I44"/>
  <c r="N43"/>
  <c r="I43"/>
  <c r="N42"/>
  <c r="N41"/>
  <c r="N40"/>
  <c r="I40"/>
  <c r="N39"/>
  <c r="I39"/>
  <c r="N38"/>
  <c r="I38"/>
  <c r="N37"/>
  <c r="H37"/>
  <c r="N36"/>
  <c r="N35"/>
  <c r="I35"/>
  <c r="K35" s="1"/>
  <c r="M34"/>
  <c r="I34"/>
  <c r="H34"/>
  <c r="I33"/>
  <c r="H33"/>
  <c r="N32"/>
  <c r="I32"/>
  <c r="H31"/>
  <c r="M30"/>
  <c r="N30" s="1"/>
  <c r="I30"/>
  <c r="N29"/>
  <c r="N28"/>
  <c r="I28"/>
  <c r="N27"/>
  <c r="I27"/>
  <c r="N26"/>
  <c r="I26"/>
  <c r="N25"/>
  <c r="I25"/>
  <c r="N24"/>
  <c r="I24"/>
  <c r="N23"/>
  <c r="I23"/>
  <c r="N22"/>
  <c r="N21"/>
  <c r="I21"/>
  <c r="N20"/>
  <c r="I20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K2"/>
  <c r="I135" i="100"/>
  <c r="N135"/>
  <c r="N134"/>
  <c r="N133"/>
  <c r="I133"/>
  <c r="N132"/>
  <c r="I132"/>
  <c r="N131"/>
  <c r="I131"/>
  <c r="N130"/>
  <c r="N129"/>
  <c r="N128"/>
  <c r="N127"/>
  <c r="M126"/>
  <c r="N126" s="1"/>
  <c r="H126"/>
  <c r="N125"/>
  <c r="N124"/>
  <c r="N123"/>
  <c r="N122"/>
  <c r="N121"/>
  <c r="N120"/>
  <c r="N119"/>
  <c r="I119"/>
  <c r="N118"/>
  <c r="I118"/>
  <c r="N117"/>
  <c r="M116"/>
  <c r="N116" s="1"/>
  <c r="N115"/>
  <c r="N114"/>
  <c r="N113"/>
  <c r="N112"/>
  <c r="J112"/>
  <c r="I112"/>
  <c r="N111"/>
  <c r="J111"/>
  <c r="N110"/>
  <c r="N109"/>
  <c r="N108"/>
  <c r="N107"/>
  <c r="N106"/>
  <c r="I106"/>
  <c r="N105"/>
  <c r="I105"/>
  <c r="N104"/>
  <c r="I104"/>
  <c r="N103"/>
  <c r="I103"/>
  <c r="N102"/>
  <c r="I102"/>
  <c r="N101"/>
  <c r="I101"/>
  <c r="N100"/>
  <c r="I100"/>
  <c r="N99"/>
  <c r="L99"/>
  <c r="I99"/>
  <c r="N98"/>
  <c r="L98"/>
  <c r="I98"/>
  <c r="N97"/>
  <c r="J96"/>
  <c r="I96"/>
  <c r="N95"/>
  <c r="I95"/>
  <c r="M94"/>
  <c r="N94" s="1"/>
  <c r="J94"/>
  <c r="I94"/>
  <c r="M93"/>
  <c r="N93" s="1"/>
  <c r="J93"/>
  <c r="I93"/>
  <c r="N92"/>
  <c r="I92"/>
  <c r="N91"/>
  <c r="I91"/>
  <c r="N90"/>
  <c r="I90"/>
  <c r="I89"/>
  <c r="N88"/>
  <c r="N87"/>
  <c r="L87"/>
  <c r="I87"/>
  <c r="N86"/>
  <c r="J86"/>
  <c r="I86"/>
  <c r="N85"/>
  <c r="I85"/>
  <c r="N84"/>
  <c r="I84"/>
  <c r="N83"/>
  <c r="N82"/>
  <c r="N81"/>
  <c r="I81"/>
  <c r="N80"/>
  <c r="I80"/>
  <c r="N79"/>
  <c r="I79"/>
  <c r="N78"/>
  <c r="N77"/>
  <c r="I77"/>
  <c r="N76"/>
  <c r="I76"/>
  <c r="N75"/>
  <c r="I75"/>
  <c r="N74"/>
  <c r="I74"/>
  <c r="N73"/>
  <c r="M73"/>
  <c r="N72"/>
  <c r="I72"/>
  <c r="N71"/>
  <c r="I71"/>
  <c r="N70"/>
  <c r="I70"/>
  <c r="N69"/>
  <c r="I69"/>
  <c r="N68"/>
  <c r="I68"/>
  <c r="N67"/>
  <c r="I67"/>
  <c r="N66"/>
  <c r="I66"/>
  <c r="N65"/>
  <c r="J65"/>
  <c r="I65"/>
  <c r="N64"/>
  <c r="J64"/>
  <c r="I64"/>
  <c r="N63"/>
  <c r="I63"/>
  <c r="N62"/>
  <c r="I62"/>
  <c r="N61"/>
  <c r="I61"/>
  <c r="N60"/>
  <c r="I60"/>
  <c r="N59"/>
  <c r="I59"/>
  <c r="N58"/>
  <c r="I58"/>
  <c r="N57"/>
  <c r="I57"/>
  <c r="M56"/>
  <c r="N56" s="1"/>
  <c r="I56"/>
  <c r="M55"/>
  <c r="N55" s="1"/>
  <c r="I55"/>
  <c r="N54"/>
  <c r="I54"/>
  <c r="N53"/>
  <c r="N52"/>
  <c r="I52"/>
  <c r="N51"/>
  <c r="I51"/>
  <c r="N50"/>
  <c r="I50"/>
  <c r="N49"/>
  <c r="I49"/>
  <c r="M48"/>
  <c r="N48" s="1"/>
  <c r="I48"/>
  <c r="M47"/>
  <c r="N47" s="1"/>
  <c r="I47"/>
  <c r="N46"/>
  <c r="I46"/>
  <c r="N45"/>
  <c r="I45"/>
  <c r="N44"/>
  <c r="I44"/>
  <c r="N43"/>
  <c r="I43"/>
  <c r="N42"/>
  <c r="N41"/>
  <c r="N40"/>
  <c r="I40"/>
  <c r="N39"/>
  <c r="I39"/>
  <c r="N38"/>
  <c r="I38"/>
  <c r="N37"/>
  <c r="H37"/>
  <c r="N36"/>
  <c r="N35"/>
  <c r="I35"/>
  <c r="K35" s="1"/>
  <c r="M34"/>
  <c r="I34"/>
  <c r="H34"/>
  <c r="I33"/>
  <c r="H33"/>
  <c r="K33" s="1"/>
  <c r="N32"/>
  <c r="I32"/>
  <c r="H31"/>
  <c r="M30"/>
  <c r="N30" s="1"/>
  <c r="I30"/>
  <c r="N29"/>
  <c r="N28"/>
  <c r="I28"/>
  <c r="N27"/>
  <c r="I27"/>
  <c r="N26"/>
  <c r="I26"/>
  <c r="N25"/>
  <c r="I25"/>
  <c r="N24"/>
  <c r="I24"/>
  <c r="N23"/>
  <c r="I23"/>
  <c r="N22"/>
  <c r="N21"/>
  <c r="I21"/>
  <c r="N20"/>
  <c r="I20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K2"/>
  <c r="N139" i="99"/>
  <c r="N146" s="1"/>
  <c r="H37"/>
  <c r="N37"/>
  <c r="N134"/>
  <c r="N133"/>
  <c r="N142"/>
  <c r="N144"/>
  <c r="N133" i="98"/>
  <c r="I133" i="99"/>
  <c r="N132"/>
  <c r="I132"/>
  <c r="N131"/>
  <c r="I131"/>
  <c r="N130"/>
  <c r="N129"/>
  <c r="N128"/>
  <c r="N127"/>
  <c r="M126"/>
  <c r="N126" s="1"/>
  <c r="H126"/>
  <c r="N125"/>
  <c r="N124"/>
  <c r="N123"/>
  <c r="N122"/>
  <c r="N121"/>
  <c r="N120"/>
  <c r="N119"/>
  <c r="I119"/>
  <c r="N118"/>
  <c r="I118"/>
  <c r="N117"/>
  <c r="M116"/>
  <c r="N116" s="1"/>
  <c r="N115"/>
  <c r="N114"/>
  <c r="N113"/>
  <c r="N112"/>
  <c r="J112"/>
  <c r="I112"/>
  <c r="N111"/>
  <c r="J111"/>
  <c r="N110"/>
  <c r="N109"/>
  <c r="N108"/>
  <c r="N107"/>
  <c r="N106"/>
  <c r="I106"/>
  <c r="N105"/>
  <c r="I105"/>
  <c r="N104"/>
  <c r="I104"/>
  <c r="N103"/>
  <c r="I103"/>
  <c r="N102"/>
  <c r="I102"/>
  <c r="N101"/>
  <c r="I101"/>
  <c r="N100"/>
  <c r="I100"/>
  <c r="N99"/>
  <c r="L99"/>
  <c r="I99"/>
  <c r="N98"/>
  <c r="L98"/>
  <c r="I98"/>
  <c r="N97"/>
  <c r="J96"/>
  <c r="I96"/>
  <c r="N95"/>
  <c r="I95"/>
  <c r="M94"/>
  <c r="N94" s="1"/>
  <c r="J94"/>
  <c r="I94"/>
  <c r="M93"/>
  <c r="N93" s="1"/>
  <c r="J93"/>
  <c r="I93"/>
  <c r="N92"/>
  <c r="I92"/>
  <c r="N91"/>
  <c r="I91"/>
  <c r="N90"/>
  <c r="I90"/>
  <c r="I89"/>
  <c r="N88"/>
  <c r="N87"/>
  <c r="L87"/>
  <c r="I87"/>
  <c r="N86"/>
  <c r="J86"/>
  <c r="I86"/>
  <c r="N85"/>
  <c r="I85"/>
  <c r="N84"/>
  <c r="I84"/>
  <c r="N83"/>
  <c r="N82"/>
  <c r="N81"/>
  <c r="I81"/>
  <c r="N80"/>
  <c r="I80"/>
  <c r="N79"/>
  <c r="I79"/>
  <c r="N78"/>
  <c r="N77"/>
  <c r="I77"/>
  <c r="N76"/>
  <c r="I76"/>
  <c r="N75"/>
  <c r="I75"/>
  <c r="N74"/>
  <c r="I74"/>
  <c r="N73"/>
  <c r="M73"/>
  <c r="N72"/>
  <c r="I72"/>
  <c r="N71"/>
  <c r="I71"/>
  <c r="N70"/>
  <c r="I70"/>
  <c r="N69"/>
  <c r="I69"/>
  <c r="N68"/>
  <c r="I68"/>
  <c r="N67"/>
  <c r="I67"/>
  <c r="N66"/>
  <c r="I66"/>
  <c r="N65"/>
  <c r="J65"/>
  <c r="I65"/>
  <c r="N64"/>
  <c r="J64"/>
  <c r="I64"/>
  <c r="N63"/>
  <c r="I63"/>
  <c r="N62"/>
  <c r="I62"/>
  <c r="N61"/>
  <c r="I61"/>
  <c r="N60"/>
  <c r="I60"/>
  <c r="N59"/>
  <c r="I59"/>
  <c r="N58"/>
  <c r="I58"/>
  <c r="N57"/>
  <c r="I57"/>
  <c r="M56"/>
  <c r="N56" s="1"/>
  <c r="I56"/>
  <c r="M55"/>
  <c r="N55" s="1"/>
  <c r="I55"/>
  <c r="N54"/>
  <c r="I54"/>
  <c r="N53"/>
  <c r="N52"/>
  <c r="I52"/>
  <c r="N51"/>
  <c r="I51"/>
  <c r="N50"/>
  <c r="I50"/>
  <c r="N49"/>
  <c r="I49"/>
  <c r="M48"/>
  <c r="N48" s="1"/>
  <c r="I48"/>
  <c r="M47"/>
  <c r="N47" s="1"/>
  <c r="I47"/>
  <c r="N46"/>
  <c r="I46"/>
  <c r="N45"/>
  <c r="I45"/>
  <c r="N44"/>
  <c r="I44"/>
  <c r="N43"/>
  <c r="I43"/>
  <c r="N42"/>
  <c r="N41"/>
  <c r="N40"/>
  <c r="I40"/>
  <c r="N39"/>
  <c r="I39"/>
  <c r="N38"/>
  <c r="I38"/>
  <c r="N36"/>
  <c r="N35"/>
  <c r="I35"/>
  <c r="K35" s="1"/>
  <c r="M34"/>
  <c r="I34"/>
  <c r="H34"/>
  <c r="K34" s="1"/>
  <c r="I33"/>
  <c r="H33"/>
  <c r="N32"/>
  <c r="I32"/>
  <c r="H31"/>
  <c r="M30"/>
  <c r="N30" s="1"/>
  <c r="I30"/>
  <c r="N29"/>
  <c r="N28"/>
  <c r="I28"/>
  <c r="N27"/>
  <c r="I27"/>
  <c r="N26"/>
  <c r="I26"/>
  <c r="N25"/>
  <c r="I25"/>
  <c r="N24"/>
  <c r="I24"/>
  <c r="N23"/>
  <c r="I23"/>
  <c r="N22"/>
  <c r="N21"/>
  <c r="I21"/>
  <c r="N20"/>
  <c r="I20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K2"/>
  <c r="I133" i="98"/>
  <c r="N132"/>
  <c r="N131"/>
  <c r="N130"/>
  <c r="I132"/>
  <c r="I131"/>
  <c r="N129"/>
  <c r="N128"/>
  <c r="N127"/>
  <c r="M126"/>
  <c r="N126" s="1"/>
  <c r="H126"/>
  <c r="N125"/>
  <c r="N124"/>
  <c r="N123"/>
  <c r="N122"/>
  <c r="N121"/>
  <c r="N120"/>
  <c r="N119"/>
  <c r="I119"/>
  <c r="N118"/>
  <c r="I118"/>
  <c r="N117"/>
  <c r="M116"/>
  <c r="N116" s="1"/>
  <c r="N115"/>
  <c r="N114"/>
  <c r="N113"/>
  <c r="N112"/>
  <c r="J112"/>
  <c r="I112"/>
  <c r="N111"/>
  <c r="J111"/>
  <c r="N110"/>
  <c r="N109"/>
  <c r="N108"/>
  <c r="N107"/>
  <c r="N106"/>
  <c r="I106"/>
  <c r="N105"/>
  <c r="I105"/>
  <c r="N104"/>
  <c r="I104"/>
  <c r="N103"/>
  <c r="I103"/>
  <c r="N102"/>
  <c r="I102"/>
  <c r="N101"/>
  <c r="I101"/>
  <c r="N100"/>
  <c r="I100"/>
  <c r="N99"/>
  <c r="L99"/>
  <c r="I99"/>
  <c r="N98"/>
  <c r="L98"/>
  <c r="I98"/>
  <c r="N97"/>
  <c r="J96"/>
  <c r="I96"/>
  <c r="N95"/>
  <c r="I95"/>
  <c r="M94"/>
  <c r="N94" s="1"/>
  <c r="J94"/>
  <c r="I94"/>
  <c r="M93"/>
  <c r="N93" s="1"/>
  <c r="J93"/>
  <c r="I93"/>
  <c r="N92"/>
  <c r="I92"/>
  <c r="N91"/>
  <c r="I91"/>
  <c r="N90"/>
  <c r="I90"/>
  <c r="I89"/>
  <c r="N88"/>
  <c r="N87"/>
  <c r="L87"/>
  <c r="I87"/>
  <c r="N86"/>
  <c r="J86"/>
  <c r="I86"/>
  <c r="N85"/>
  <c r="I85"/>
  <c r="N84"/>
  <c r="I84"/>
  <c r="N83"/>
  <c r="N82"/>
  <c r="N81"/>
  <c r="I81"/>
  <c r="N80"/>
  <c r="I80"/>
  <c r="N79"/>
  <c r="I79"/>
  <c r="N78"/>
  <c r="N77"/>
  <c r="I77"/>
  <c r="N76"/>
  <c r="I76"/>
  <c r="N75"/>
  <c r="I75"/>
  <c r="N74"/>
  <c r="I74"/>
  <c r="N73"/>
  <c r="M73"/>
  <c r="N72"/>
  <c r="I72"/>
  <c r="N71"/>
  <c r="I71"/>
  <c r="N70"/>
  <c r="I70"/>
  <c r="N69"/>
  <c r="I69"/>
  <c r="N68"/>
  <c r="I68"/>
  <c r="N67"/>
  <c r="I67"/>
  <c r="N66"/>
  <c r="I66"/>
  <c r="N65"/>
  <c r="J65"/>
  <c r="I65"/>
  <c r="N64"/>
  <c r="J64"/>
  <c r="I64"/>
  <c r="N63"/>
  <c r="I63"/>
  <c r="N62"/>
  <c r="I62"/>
  <c r="N61"/>
  <c r="I61"/>
  <c r="N60"/>
  <c r="I60"/>
  <c r="N59"/>
  <c r="I59"/>
  <c r="N58"/>
  <c r="I58"/>
  <c r="N57"/>
  <c r="I57"/>
  <c r="M56"/>
  <c r="N56" s="1"/>
  <c r="I56"/>
  <c r="M55"/>
  <c r="N55" s="1"/>
  <c r="I55"/>
  <c r="N54"/>
  <c r="I54"/>
  <c r="N53"/>
  <c r="N52"/>
  <c r="I52"/>
  <c r="N51"/>
  <c r="I51"/>
  <c r="N50"/>
  <c r="I50"/>
  <c r="N49"/>
  <c r="I49"/>
  <c r="M48"/>
  <c r="N48" s="1"/>
  <c r="I48"/>
  <c r="M47"/>
  <c r="N47" s="1"/>
  <c r="I47"/>
  <c r="N46"/>
  <c r="I46"/>
  <c r="N45"/>
  <c r="I45"/>
  <c r="N44"/>
  <c r="I44"/>
  <c r="N43"/>
  <c r="I43"/>
  <c r="N42"/>
  <c r="N41"/>
  <c r="N40"/>
  <c r="I40"/>
  <c r="N39"/>
  <c r="I39"/>
  <c r="N38"/>
  <c r="I38"/>
  <c r="N37"/>
  <c r="H37"/>
  <c r="N36"/>
  <c r="N35"/>
  <c r="I35"/>
  <c r="K35" s="1"/>
  <c r="M34"/>
  <c r="I34"/>
  <c r="H34"/>
  <c r="I33"/>
  <c r="H33"/>
  <c r="N32"/>
  <c r="I32"/>
  <c r="H31"/>
  <c r="M30"/>
  <c r="N30" s="1"/>
  <c r="I30"/>
  <c r="N29"/>
  <c r="N28"/>
  <c r="I28"/>
  <c r="N27"/>
  <c r="I27"/>
  <c r="N26"/>
  <c r="I26"/>
  <c r="N25"/>
  <c r="I25"/>
  <c r="N24"/>
  <c r="I24"/>
  <c r="N23"/>
  <c r="I23"/>
  <c r="N22"/>
  <c r="N21"/>
  <c r="I21"/>
  <c r="N20"/>
  <c r="I20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K2"/>
  <c r="I133" i="97"/>
  <c r="I132"/>
  <c r="N142"/>
  <c r="N133"/>
  <c r="N132"/>
  <c r="N131"/>
  <c r="N130"/>
  <c r="N129"/>
  <c r="N128"/>
  <c r="M127"/>
  <c r="N127" s="1"/>
  <c r="H127"/>
  <c r="N126"/>
  <c r="N125"/>
  <c r="N124"/>
  <c r="N123"/>
  <c r="N122"/>
  <c r="N121"/>
  <c r="N120"/>
  <c r="I120"/>
  <c r="N119"/>
  <c r="I119"/>
  <c r="N118"/>
  <c r="M117"/>
  <c r="N117" s="1"/>
  <c r="N116"/>
  <c r="N115"/>
  <c r="N114"/>
  <c r="N113"/>
  <c r="J113"/>
  <c r="I113"/>
  <c r="N112"/>
  <c r="J112"/>
  <c r="N111"/>
  <c r="N110"/>
  <c r="N109"/>
  <c r="N108"/>
  <c r="N107"/>
  <c r="I107"/>
  <c r="N106"/>
  <c r="I106"/>
  <c r="N105"/>
  <c r="I105"/>
  <c r="N104"/>
  <c r="I104"/>
  <c r="N103"/>
  <c r="I103"/>
  <c r="N102"/>
  <c r="I102"/>
  <c r="N101"/>
  <c r="I101"/>
  <c r="N100"/>
  <c r="L100"/>
  <c r="I100"/>
  <c r="N99"/>
  <c r="L99"/>
  <c r="I99"/>
  <c r="N98"/>
  <c r="J97"/>
  <c r="I97"/>
  <c r="N96"/>
  <c r="I96"/>
  <c r="M95"/>
  <c r="N95" s="1"/>
  <c r="J95"/>
  <c r="I95"/>
  <c r="M94"/>
  <c r="N94" s="1"/>
  <c r="J94"/>
  <c r="I94"/>
  <c r="N93"/>
  <c r="I93"/>
  <c r="N92"/>
  <c r="I92"/>
  <c r="N91"/>
  <c r="I91"/>
  <c r="I90"/>
  <c r="N89"/>
  <c r="N88"/>
  <c r="L88"/>
  <c r="I88"/>
  <c r="N87"/>
  <c r="J87"/>
  <c r="I87"/>
  <c r="N86"/>
  <c r="I86"/>
  <c r="N85"/>
  <c r="I85"/>
  <c r="N84"/>
  <c r="N83"/>
  <c r="N82"/>
  <c r="I82"/>
  <c r="N81"/>
  <c r="I81"/>
  <c r="N80"/>
  <c r="I80"/>
  <c r="N79"/>
  <c r="N78"/>
  <c r="I78"/>
  <c r="N77"/>
  <c r="I77"/>
  <c r="N76"/>
  <c r="I76"/>
  <c r="N75"/>
  <c r="I75"/>
  <c r="N74"/>
  <c r="M74"/>
  <c r="N73"/>
  <c r="I73"/>
  <c r="N72"/>
  <c r="I72"/>
  <c r="N71"/>
  <c r="I71"/>
  <c r="N70"/>
  <c r="I70"/>
  <c r="N69"/>
  <c r="I69"/>
  <c r="N68"/>
  <c r="I68"/>
  <c r="N67"/>
  <c r="I67"/>
  <c r="N66"/>
  <c r="I66"/>
  <c r="N65"/>
  <c r="J65"/>
  <c r="I65"/>
  <c r="N64"/>
  <c r="J64"/>
  <c r="I64"/>
  <c r="N63"/>
  <c r="I63"/>
  <c r="N62"/>
  <c r="I62"/>
  <c r="N61"/>
  <c r="I61"/>
  <c r="N60"/>
  <c r="I60"/>
  <c r="N59"/>
  <c r="I59"/>
  <c r="N58"/>
  <c r="I58"/>
  <c r="N57"/>
  <c r="I57"/>
  <c r="M56"/>
  <c r="N56" s="1"/>
  <c r="I56"/>
  <c r="M55"/>
  <c r="N55" s="1"/>
  <c r="I55"/>
  <c r="N54"/>
  <c r="I54"/>
  <c r="N53"/>
  <c r="N52"/>
  <c r="I52"/>
  <c r="N51"/>
  <c r="I51"/>
  <c r="N50"/>
  <c r="I50"/>
  <c r="N49"/>
  <c r="I49"/>
  <c r="M48"/>
  <c r="N48" s="1"/>
  <c r="I48"/>
  <c r="M47"/>
  <c r="N47" s="1"/>
  <c r="I47"/>
  <c r="N46"/>
  <c r="I46"/>
  <c r="N45"/>
  <c r="I45"/>
  <c r="N44"/>
  <c r="I44"/>
  <c r="N43"/>
  <c r="I43"/>
  <c r="N42"/>
  <c r="N41"/>
  <c r="N40"/>
  <c r="I40"/>
  <c r="N39"/>
  <c r="I39"/>
  <c r="N38"/>
  <c r="I38"/>
  <c r="N37"/>
  <c r="H37"/>
  <c r="N36"/>
  <c r="N35"/>
  <c r="I35"/>
  <c r="K35" s="1"/>
  <c r="M34"/>
  <c r="I34"/>
  <c r="H34"/>
  <c r="I33"/>
  <c r="H33"/>
  <c r="N32"/>
  <c r="I32"/>
  <c r="H31"/>
  <c r="M30"/>
  <c r="N30" s="1"/>
  <c r="I30"/>
  <c r="N29"/>
  <c r="N28"/>
  <c r="I28"/>
  <c r="N27"/>
  <c r="I27"/>
  <c r="N26"/>
  <c r="I26"/>
  <c r="N25"/>
  <c r="I25"/>
  <c r="N24"/>
  <c r="I24"/>
  <c r="N23"/>
  <c r="I23"/>
  <c r="N22"/>
  <c r="N21"/>
  <c r="I21"/>
  <c r="N20"/>
  <c r="I20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N135" s="1"/>
  <c r="N136" s="1"/>
  <c r="K2"/>
  <c r="N146" i="96"/>
  <c r="N131"/>
  <c r="N130"/>
  <c r="N129"/>
  <c r="M128"/>
  <c r="N128" s="1"/>
  <c r="H128"/>
  <c r="N127"/>
  <c r="N126"/>
  <c r="N125"/>
  <c r="N124"/>
  <c r="N123"/>
  <c r="N122"/>
  <c r="N121"/>
  <c r="I121"/>
  <c r="N120"/>
  <c r="I120"/>
  <c r="N119"/>
  <c r="M118"/>
  <c r="N118" s="1"/>
  <c r="N117"/>
  <c r="N116"/>
  <c r="N115"/>
  <c r="N114"/>
  <c r="J114"/>
  <c r="I114"/>
  <c r="N113"/>
  <c r="J113"/>
  <c r="N112"/>
  <c r="N111"/>
  <c r="N110"/>
  <c r="N109"/>
  <c r="N108"/>
  <c r="I108"/>
  <c r="N107"/>
  <c r="I107"/>
  <c r="N106"/>
  <c r="I106"/>
  <c r="N105"/>
  <c r="I105"/>
  <c r="N104"/>
  <c r="I104"/>
  <c r="N103"/>
  <c r="I103"/>
  <c r="N102"/>
  <c r="I102"/>
  <c r="N101"/>
  <c r="L101"/>
  <c r="I101"/>
  <c r="N100"/>
  <c r="L100"/>
  <c r="I100"/>
  <c r="N99"/>
  <c r="J98"/>
  <c r="I98"/>
  <c r="N97"/>
  <c r="I97"/>
  <c r="M96"/>
  <c r="N96" s="1"/>
  <c r="J96"/>
  <c r="I96"/>
  <c r="M95"/>
  <c r="N95" s="1"/>
  <c r="J95"/>
  <c r="I95"/>
  <c r="N94"/>
  <c r="I94"/>
  <c r="N93"/>
  <c r="I93"/>
  <c r="N92"/>
  <c r="I92"/>
  <c r="I91"/>
  <c r="N90"/>
  <c r="N89"/>
  <c r="L89"/>
  <c r="I89"/>
  <c r="N88"/>
  <c r="J88"/>
  <c r="I88"/>
  <c r="N87"/>
  <c r="I87"/>
  <c r="N86"/>
  <c r="I86"/>
  <c r="N85"/>
  <c r="N84"/>
  <c r="N83"/>
  <c r="I83"/>
  <c r="N82"/>
  <c r="I82"/>
  <c r="N81"/>
  <c r="I81"/>
  <c r="N80"/>
  <c r="N79"/>
  <c r="I79"/>
  <c r="N78"/>
  <c r="I78"/>
  <c r="N77"/>
  <c r="I77"/>
  <c r="N76"/>
  <c r="I76"/>
  <c r="N75"/>
  <c r="I75"/>
  <c r="N74"/>
  <c r="M74"/>
  <c r="N73"/>
  <c r="I73"/>
  <c r="N72"/>
  <c r="I72"/>
  <c r="N71"/>
  <c r="I71"/>
  <c r="N70"/>
  <c r="I70"/>
  <c r="N69"/>
  <c r="I69"/>
  <c r="N68"/>
  <c r="I68"/>
  <c r="N67"/>
  <c r="I67"/>
  <c r="N66"/>
  <c r="I66"/>
  <c r="N65"/>
  <c r="J65"/>
  <c r="I65"/>
  <c r="N64"/>
  <c r="J64"/>
  <c r="I64"/>
  <c r="N63"/>
  <c r="I63"/>
  <c r="N62"/>
  <c r="I62"/>
  <c r="N61"/>
  <c r="I61"/>
  <c r="N60"/>
  <c r="I60"/>
  <c r="N59"/>
  <c r="I59"/>
  <c r="N58"/>
  <c r="I58"/>
  <c r="N57"/>
  <c r="I57"/>
  <c r="M56"/>
  <c r="N56" s="1"/>
  <c r="I56"/>
  <c r="M55"/>
  <c r="N55" s="1"/>
  <c r="I55"/>
  <c r="N54"/>
  <c r="I54"/>
  <c r="N53"/>
  <c r="N52"/>
  <c r="I52"/>
  <c r="N51"/>
  <c r="I51"/>
  <c r="N50"/>
  <c r="I50"/>
  <c r="N49"/>
  <c r="I49"/>
  <c r="M48"/>
  <c r="N48" s="1"/>
  <c r="I48"/>
  <c r="M47"/>
  <c r="N47" s="1"/>
  <c r="I47"/>
  <c r="N46"/>
  <c r="I46"/>
  <c r="N45"/>
  <c r="I45"/>
  <c r="N44"/>
  <c r="I44"/>
  <c r="N43"/>
  <c r="I43"/>
  <c r="N42"/>
  <c r="N41"/>
  <c r="N40"/>
  <c r="I40"/>
  <c r="N39"/>
  <c r="I39"/>
  <c r="N38"/>
  <c r="I38"/>
  <c r="N37"/>
  <c r="H37"/>
  <c r="N36"/>
  <c r="N35"/>
  <c r="I35"/>
  <c r="K35" s="1"/>
  <c r="M34"/>
  <c r="K34"/>
  <c r="I34"/>
  <c r="H34"/>
  <c r="I33"/>
  <c r="K33" s="1"/>
  <c r="H33"/>
  <c r="N32"/>
  <c r="I32"/>
  <c r="H31"/>
  <c r="M30"/>
  <c r="N30" s="1"/>
  <c r="I30"/>
  <c r="N29"/>
  <c r="N28"/>
  <c r="I28"/>
  <c r="N27"/>
  <c r="I27"/>
  <c r="N26"/>
  <c r="I26"/>
  <c r="N25"/>
  <c r="I25"/>
  <c r="N24"/>
  <c r="I24"/>
  <c r="N23"/>
  <c r="I23"/>
  <c r="N22"/>
  <c r="N21"/>
  <c r="I21"/>
  <c r="N20"/>
  <c r="I20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K2"/>
  <c r="N146" i="95"/>
  <c r="N130"/>
  <c r="N129"/>
  <c r="N131"/>
  <c r="M128"/>
  <c r="N128" s="1"/>
  <c r="H128"/>
  <c r="N127"/>
  <c r="N126"/>
  <c r="N125"/>
  <c r="N124"/>
  <c r="N123"/>
  <c r="N122"/>
  <c r="N121"/>
  <c r="I121"/>
  <c r="N120"/>
  <c r="I120"/>
  <c r="N119"/>
  <c r="M118"/>
  <c r="N118" s="1"/>
  <c r="N117"/>
  <c r="N116"/>
  <c r="N115"/>
  <c r="N114"/>
  <c r="J114"/>
  <c r="I114"/>
  <c r="N113"/>
  <c r="J113"/>
  <c r="N112"/>
  <c r="N111"/>
  <c r="N110"/>
  <c r="N109"/>
  <c r="N108"/>
  <c r="I108"/>
  <c r="N107"/>
  <c r="I107"/>
  <c r="N106"/>
  <c r="I106"/>
  <c r="N105"/>
  <c r="I105"/>
  <c r="N104"/>
  <c r="I104"/>
  <c r="N103"/>
  <c r="I103"/>
  <c r="N102"/>
  <c r="I102"/>
  <c r="N101"/>
  <c r="L101"/>
  <c r="I101"/>
  <c r="N100"/>
  <c r="L100"/>
  <c r="I100"/>
  <c r="N99"/>
  <c r="J98"/>
  <c r="I98"/>
  <c r="N97"/>
  <c r="I97"/>
  <c r="M96"/>
  <c r="N96" s="1"/>
  <c r="J96"/>
  <c r="I96"/>
  <c r="M95"/>
  <c r="N95" s="1"/>
  <c r="J95"/>
  <c r="I95"/>
  <c r="N94"/>
  <c r="I94"/>
  <c r="N93"/>
  <c r="I93"/>
  <c r="N92"/>
  <c r="I92"/>
  <c r="I91"/>
  <c r="N90"/>
  <c r="N89"/>
  <c r="L89"/>
  <c r="I89"/>
  <c r="N88"/>
  <c r="J88"/>
  <c r="I88"/>
  <c r="N87"/>
  <c r="I87"/>
  <c r="N86"/>
  <c r="I86"/>
  <c r="N85"/>
  <c r="N84"/>
  <c r="N83"/>
  <c r="I83"/>
  <c r="N82"/>
  <c r="I82"/>
  <c r="N81"/>
  <c r="I81"/>
  <c r="N80"/>
  <c r="N79"/>
  <c r="I79"/>
  <c r="N78"/>
  <c r="I78"/>
  <c r="N77"/>
  <c r="I77"/>
  <c r="N76"/>
  <c r="I76"/>
  <c r="N75"/>
  <c r="I75"/>
  <c r="N74"/>
  <c r="M74"/>
  <c r="N73"/>
  <c r="I73"/>
  <c r="N72"/>
  <c r="I72"/>
  <c r="N71"/>
  <c r="I71"/>
  <c r="N70"/>
  <c r="I70"/>
  <c r="N69"/>
  <c r="I69"/>
  <c r="N68"/>
  <c r="I68"/>
  <c r="N67"/>
  <c r="I67"/>
  <c r="N66"/>
  <c r="I66"/>
  <c r="N65"/>
  <c r="J65"/>
  <c r="I65"/>
  <c r="N64"/>
  <c r="J64"/>
  <c r="I64"/>
  <c r="N63"/>
  <c r="I63"/>
  <c r="N62"/>
  <c r="I62"/>
  <c r="N61"/>
  <c r="I61"/>
  <c r="N60"/>
  <c r="I60"/>
  <c r="N59"/>
  <c r="I59"/>
  <c r="N58"/>
  <c r="I58"/>
  <c r="N57"/>
  <c r="I57"/>
  <c r="M56"/>
  <c r="N56" s="1"/>
  <c r="I56"/>
  <c r="M55"/>
  <c r="N55" s="1"/>
  <c r="I55"/>
  <c r="N54"/>
  <c r="I54"/>
  <c r="N53"/>
  <c r="N52"/>
  <c r="I52"/>
  <c r="N51"/>
  <c r="I51"/>
  <c r="N50"/>
  <c r="I50"/>
  <c r="N49"/>
  <c r="I49"/>
  <c r="M48"/>
  <c r="N48" s="1"/>
  <c r="I48"/>
  <c r="M47"/>
  <c r="N47" s="1"/>
  <c r="I47"/>
  <c r="N46"/>
  <c r="I46"/>
  <c r="N45"/>
  <c r="I45"/>
  <c r="N44"/>
  <c r="I44"/>
  <c r="N43"/>
  <c r="I43"/>
  <c r="N42"/>
  <c r="N41"/>
  <c r="N40"/>
  <c r="I40"/>
  <c r="N39"/>
  <c r="I39"/>
  <c r="N38"/>
  <c r="I38"/>
  <c r="N37"/>
  <c r="H37"/>
  <c r="N36"/>
  <c r="N35"/>
  <c r="I35"/>
  <c r="K35" s="1"/>
  <c r="M34"/>
  <c r="I34"/>
  <c r="H34"/>
  <c r="K34" s="1"/>
  <c r="I33"/>
  <c r="H33"/>
  <c r="N32"/>
  <c r="I32"/>
  <c r="H31"/>
  <c r="M30"/>
  <c r="N30" s="1"/>
  <c r="I30"/>
  <c r="N29"/>
  <c r="N28"/>
  <c r="I28"/>
  <c r="N27"/>
  <c r="I27"/>
  <c r="N26"/>
  <c r="I26"/>
  <c r="N25"/>
  <c r="I25"/>
  <c r="N24"/>
  <c r="I24"/>
  <c r="N23"/>
  <c r="I23"/>
  <c r="N22"/>
  <c r="N21"/>
  <c r="I21"/>
  <c r="N20"/>
  <c r="I20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K2"/>
  <c r="H131" i="94"/>
  <c r="N130"/>
  <c r="N131"/>
  <c r="H129"/>
  <c r="M129"/>
  <c r="N129" s="1"/>
  <c r="N128"/>
  <c r="N127"/>
  <c r="N126"/>
  <c r="N125"/>
  <c r="N124"/>
  <c r="N123"/>
  <c r="N122"/>
  <c r="I122"/>
  <c r="N121"/>
  <c r="I121"/>
  <c r="N120"/>
  <c r="M119"/>
  <c r="N119" s="1"/>
  <c r="N118"/>
  <c r="N117"/>
  <c r="N116"/>
  <c r="N115"/>
  <c r="J115"/>
  <c r="I115"/>
  <c r="N114"/>
  <c r="J114"/>
  <c r="N113"/>
  <c r="N112"/>
  <c r="N111"/>
  <c r="N110"/>
  <c r="N109"/>
  <c r="I109"/>
  <c r="N108"/>
  <c r="I108"/>
  <c r="N107"/>
  <c r="I107"/>
  <c r="N106"/>
  <c r="I106"/>
  <c r="N105"/>
  <c r="I105"/>
  <c r="N104"/>
  <c r="I104"/>
  <c r="N103"/>
  <c r="I103"/>
  <c r="N102"/>
  <c r="L102"/>
  <c r="I102"/>
  <c r="N101"/>
  <c r="L101"/>
  <c r="I101"/>
  <c r="N100"/>
  <c r="J99"/>
  <c r="I99"/>
  <c r="N98"/>
  <c r="I98"/>
  <c r="M97"/>
  <c r="N97" s="1"/>
  <c r="J97"/>
  <c r="I97"/>
  <c r="M96"/>
  <c r="N96" s="1"/>
  <c r="J96"/>
  <c r="I96"/>
  <c r="N95"/>
  <c r="I95"/>
  <c r="N94"/>
  <c r="I94"/>
  <c r="N93"/>
  <c r="I93"/>
  <c r="I92"/>
  <c r="N91"/>
  <c r="N90"/>
  <c r="L90"/>
  <c r="I90"/>
  <c r="N89"/>
  <c r="J89"/>
  <c r="I89"/>
  <c r="N88"/>
  <c r="I88"/>
  <c r="N87"/>
  <c r="I87"/>
  <c r="N86"/>
  <c r="N85"/>
  <c r="N84"/>
  <c r="I84"/>
  <c r="N83"/>
  <c r="I83"/>
  <c r="N82"/>
  <c r="I82"/>
  <c r="N81"/>
  <c r="N80"/>
  <c r="I80"/>
  <c r="N79"/>
  <c r="I79"/>
  <c r="N78"/>
  <c r="I78"/>
  <c r="N77"/>
  <c r="I77"/>
  <c r="N76"/>
  <c r="I76"/>
  <c r="N75"/>
  <c r="M75"/>
  <c r="N74"/>
  <c r="I74"/>
  <c r="N73"/>
  <c r="I73"/>
  <c r="N72"/>
  <c r="I72"/>
  <c r="N71"/>
  <c r="I71"/>
  <c r="N70"/>
  <c r="I70"/>
  <c r="N69"/>
  <c r="I69"/>
  <c r="N68"/>
  <c r="I68"/>
  <c r="N67"/>
  <c r="I67"/>
  <c r="N66"/>
  <c r="J66"/>
  <c r="I66"/>
  <c r="N65"/>
  <c r="J65"/>
  <c r="I65"/>
  <c r="N64"/>
  <c r="I64"/>
  <c r="N63"/>
  <c r="I63"/>
  <c r="N62"/>
  <c r="I62"/>
  <c r="N61"/>
  <c r="I61"/>
  <c r="N60"/>
  <c r="I60"/>
  <c r="N59"/>
  <c r="I59"/>
  <c r="N58"/>
  <c r="I58"/>
  <c r="M57"/>
  <c r="N57" s="1"/>
  <c r="I57"/>
  <c r="M56"/>
  <c r="N56" s="1"/>
  <c r="I56"/>
  <c r="N55"/>
  <c r="I55"/>
  <c r="N54"/>
  <c r="N53"/>
  <c r="I53"/>
  <c r="N52"/>
  <c r="I52"/>
  <c r="N51"/>
  <c r="I51"/>
  <c r="N50"/>
  <c r="I50"/>
  <c r="M49"/>
  <c r="N49" s="1"/>
  <c r="I49"/>
  <c r="M48"/>
  <c r="N48" s="1"/>
  <c r="I48"/>
  <c r="N47"/>
  <c r="I47"/>
  <c r="N46"/>
  <c r="I46"/>
  <c r="N45"/>
  <c r="I45"/>
  <c r="N44"/>
  <c r="I44"/>
  <c r="N43"/>
  <c r="I43"/>
  <c r="N42"/>
  <c r="N41"/>
  <c r="N40"/>
  <c r="I40"/>
  <c r="N39"/>
  <c r="I39"/>
  <c r="N38"/>
  <c r="I38"/>
  <c r="N37"/>
  <c r="H37"/>
  <c r="N36"/>
  <c r="N35"/>
  <c r="I35"/>
  <c r="K35" s="1"/>
  <c r="M34"/>
  <c r="I34"/>
  <c r="H34"/>
  <c r="I33"/>
  <c r="H33"/>
  <c r="N32"/>
  <c r="I32"/>
  <c r="H31"/>
  <c r="M30"/>
  <c r="N30" s="1"/>
  <c r="I30"/>
  <c r="N29"/>
  <c r="N28"/>
  <c r="I28"/>
  <c r="N27"/>
  <c r="I27"/>
  <c r="N26"/>
  <c r="I26"/>
  <c r="N25"/>
  <c r="I25"/>
  <c r="N24"/>
  <c r="I24"/>
  <c r="N23"/>
  <c r="I23"/>
  <c r="N22"/>
  <c r="N21"/>
  <c r="I21"/>
  <c r="N20"/>
  <c r="I20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N132" s="1"/>
  <c r="N133" s="1"/>
  <c r="K2"/>
  <c r="N129" i="93"/>
  <c r="N128"/>
  <c r="O137"/>
  <c r="O141" s="1"/>
  <c r="N127"/>
  <c r="N126"/>
  <c r="N125"/>
  <c r="N124"/>
  <c r="N123"/>
  <c r="I123"/>
  <c r="N122"/>
  <c r="I122"/>
  <c r="N121"/>
  <c r="M120"/>
  <c r="N120" s="1"/>
  <c r="N119"/>
  <c r="N118"/>
  <c r="N117"/>
  <c r="N116"/>
  <c r="J116"/>
  <c r="I116"/>
  <c r="N115"/>
  <c r="J115"/>
  <c r="N114"/>
  <c r="N113"/>
  <c r="N112"/>
  <c r="N111"/>
  <c r="N110"/>
  <c r="I110"/>
  <c r="N109"/>
  <c r="I109"/>
  <c r="N108"/>
  <c r="I108"/>
  <c r="N107"/>
  <c r="I107"/>
  <c r="N106"/>
  <c r="I106"/>
  <c r="N105"/>
  <c r="I105"/>
  <c r="N104"/>
  <c r="I104"/>
  <c r="N103"/>
  <c r="L103"/>
  <c r="I103"/>
  <c r="N102"/>
  <c r="L102"/>
  <c r="I102"/>
  <c r="N101"/>
  <c r="J100"/>
  <c r="I100"/>
  <c r="N99"/>
  <c r="I99"/>
  <c r="M98"/>
  <c r="N98" s="1"/>
  <c r="J98"/>
  <c r="I98"/>
  <c r="M97"/>
  <c r="N97" s="1"/>
  <c r="J97"/>
  <c r="I97"/>
  <c r="N96"/>
  <c r="I96"/>
  <c r="N95"/>
  <c r="I95"/>
  <c r="N94"/>
  <c r="I94"/>
  <c r="I93"/>
  <c r="N92"/>
  <c r="N91"/>
  <c r="L91"/>
  <c r="I91"/>
  <c r="N90"/>
  <c r="J90"/>
  <c r="I90"/>
  <c r="N89"/>
  <c r="I89"/>
  <c r="N88"/>
  <c r="I88"/>
  <c r="N87"/>
  <c r="N86"/>
  <c r="N85"/>
  <c r="I85"/>
  <c r="N84"/>
  <c r="I84"/>
  <c r="N83"/>
  <c r="I83"/>
  <c r="N82"/>
  <c r="N81"/>
  <c r="I81"/>
  <c r="N80"/>
  <c r="I80"/>
  <c r="N79"/>
  <c r="I79"/>
  <c r="N78"/>
  <c r="I78"/>
  <c r="N77"/>
  <c r="I77"/>
  <c r="N76"/>
  <c r="M76"/>
  <c r="N75"/>
  <c r="I75"/>
  <c r="N74"/>
  <c r="I74"/>
  <c r="N73"/>
  <c r="I73"/>
  <c r="N72"/>
  <c r="I72"/>
  <c r="N71"/>
  <c r="I71"/>
  <c r="N70"/>
  <c r="I70"/>
  <c r="N69"/>
  <c r="I69"/>
  <c r="N68"/>
  <c r="I68"/>
  <c r="N67"/>
  <c r="I67"/>
  <c r="N66"/>
  <c r="J66"/>
  <c r="I66"/>
  <c r="N65"/>
  <c r="J65"/>
  <c r="I65"/>
  <c r="N64"/>
  <c r="I64"/>
  <c r="N63"/>
  <c r="I63"/>
  <c r="N62"/>
  <c r="I62"/>
  <c r="N61"/>
  <c r="I61"/>
  <c r="N60"/>
  <c r="I60"/>
  <c r="N59"/>
  <c r="I59"/>
  <c r="N58"/>
  <c r="I58"/>
  <c r="M57"/>
  <c r="N57" s="1"/>
  <c r="I57"/>
  <c r="M56"/>
  <c r="N56" s="1"/>
  <c r="I56"/>
  <c r="N55"/>
  <c r="I55"/>
  <c r="N54"/>
  <c r="N53"/>
  <c r="I53"/>
  <c r="N52"/>
  <c r="I52"/>
  <c r="N51"/>
  <c r="I51"/>
  <c r="N50"/>
  <c r="I50"/>
  <c r="M49"/>
  <c r="N49" s="1"/>
  <c r="I49"/>
  <c r="M48"/>
  <c r="N48" s="1"/>
  <c r="I48"/>
  <c r="N47"/>
  <c r="I47"/>
  <c r="N46"/>
  <c r="I46"/>
  <c r="N45"/>
  <c r="I45"/>
  <c r="N44"/>
  <c r="I44"/>
  <c r="N43"/>
  <c r="I43"/>
  <c r="N42"/>
  <c r="N41"/>
  <c r="N40"/>
  <c r="I40"/>
  <c r="N39"/>
  <c r="I39"/>
  <c r="N38"/>
  <c r="I38"/>
  <c r="N37"/>
  <c r="H37"/>
  <c r="N36"/>
  <c r="N35"/>
  <c r="I35"/>
  <c r="K35" s="1"/>
  <c r="M34"/>
  <c r="I34"/>
  <c r="H34"/>
  <c r="I33"/>
  <c r="H33"/>
  <c r="N32"/>
  <c r="I32"/>
  <c r="H31"/>
  <c r="M30"/>
  <c r="N30" s="1"/>
  <c r="I30"/>
  <c r="N29"/>
  <c r="N28"/>
  <c r="I28"/>
  <c r="N27"/>
  <c r="I27"/>
  <c r="N26"/>
  <c r="I26"/>
  <c r="N25"/>
  <c r="I25"/>
  <c r="N24"/>
  <c r="I24"/>
  <c r="N23"/>
  <c r="I23"/>
  <c r="N22"/>
  <c r="N21"/>
  <c r="I21"/>
  <c r="N20"/>
  <c r="I20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K2"/>
  <c r="N133" i="92"/>
  <c r="I41"/>
  <c r="N124"/>
  <c r="I124"/>
  <c r="N123"/>
  <c r="M122"/>
  <c r="N122" s="1"/>
  <c r="N121"/>
  <c r="N120"/>
  <c r="N119"/>
  <c r="N118"/>
  <c r="J118"/>
  <c r="I118"/>
  <c r="N117"/>
  <c r="J117"/>
  <c r="N116"/>
  <c r="N115"/>
  <c r="N114"/>
  <c r="N113"/>
  <c r="N112"/>
  <c r="I112"/>
  <c r="N111"/>
  <c r="I111"/>
  <c r="N110"/>
  <c r="I110"/>
  <c r="N109"/>
  <c r="I109"/>
  <c r="N108"/>
  <c r="I108"/>
  <c r="N107"/>
  <c r="I107"/>
  <c r="N106"/>
  <c r="I106"/>
  <c r="N105"/>
  <c r="L105"/>
  <c r="I105"/>
  <c r="N104"/>
  <c r="L104"/>
  <c r="I104"/>
  <c r="N103"/>
  <c r="J102"/>
  <c r="I102"/>
  <c r="N101"/>
  <c r="I101"/>
  <c r="M100"/>
  <c r="N100" s="1"/>
  <c r="J100"/>
  <c r="I100"/>
  <c r="M99"/>
  <c r="N99" s="1"/>
  <c r="J99"/>
  <c r="I99"/>
  <c r="N98"/>
  <c r="I98"/>
  <c r="N97"/>
  <c r="I97"/>
  <c r="N96"/>
  <c r="I96"/>
  <c r="I95"/>
  <c r="N94"/>
  <c r="N93"/>
  <c r="L93"/>
  <c r="I93"/>
  <c r="N92"/>
  <c r="J92"/>
  <c r="I92"/>
  <c r="N91"/>
  <c r="I91"/>
  <c r="N90"/>
  <c r="I90"/>
  <c r="N89"/>
  <c r="N88"/>
  <c r="N87"/>
  <c r="I87"/>
  <c r="N86"/>
  <c r="I86"/>
  <c r="N85"/>
  <c r="I85"/>
  <c r="N84"/>
  <c r="N83"/>
  <c r="I83"/>
  <c r="N82"/>
  <c r="I82"/>
  <c r="N81"/>
  <c r="I81"/>
  <c r="N80"/>
  <c r="I80"/>
  <c r="N79"/>
  <c r="I79"/>
  <c r="N78"/>
  <c r="M78"/>
  <c r="N77"/>
  <c r="I77"/>
  <c r="N76"/>
  <c r="I76"/>
  <c r="N75"/>
  <c r="I75"/>
  <c r="N74"/>
  <c r="I74"/>
  <c r="N73"/>
  <c r="I73"/>
  <c r="N72"/>
  <c r="I72"/>
  <c r="N71"/>
  <c r="I71"/>
  <c r="N70"/>
  <c r="I70"/>
  <c r="N69"/>
  <c r="I69"/>
  <c r="N68"/>
  <c r="J68"/>
  <c r="I68"/>
  <c r="N67"/>
  <c r="J67"/>
  <c r="I67"/>
  <c r="N66"/>
  <c r="I66"/>
  <c r="N65"/>
  <c r="I65"/>
  <c r="N64"/>
  <c r="I64"/>
  <c r="N63"/>
  <c r="I63"/>
  <c r="N62"/>
  <c r="I62"/>
  <c r="N61"/>
  <c r="I61"/>
  <c r="N60"/>
  <c r="I60"/>
  <c r="N59"/>
  <c r="I59"/>
  <c r="M58"/>
  <c r="N58" s="1"/>
  <c r="I58"/>
  <c r="M57"/>
  <c r="N57" s="1"/>
  <c r="I57"/>
  <c r="N56"/>
  <c r="I56"/>
  <c r="N55"/>
  <c r="N54"/>
  <c r="I54"/>
  <c r="N53"/>
  <c r="I53"/>
  <c r="N52"/>
  <c r="I52"/>
  <c r="N51"/>
  <c r="I51"/>
  <c r="M50"/>
  <c r="N50" s="1"/>
  <c r="I50"/>
  <c r="M49"/>
  <c r="N49" s="1"/>
  <c r="I49"/>
  <c r="N48"/>
  <c r="I48"/>
  <c r="N47"/>
  <c r="I47"/>
  <c r="N46"/>
  <c r="I46"/>
  <c r="N45"/>
  <c r="I45"/>
  <c r="N44"/>
  <c r="I44"/>
  <c r="N43"/>
  <c r="N42"/>
  <c r="N41"/>
  <c r="N40"/>
  <c r="I40"/>
  <c r="N39"/>
  <c r="I39"/>
  <c r="N38"/>
  <c r="H38"/>
  <c r="N37"/>
  <c r="N36"/>
  <c r="I36"/>
  <c r="K36" s="1"/>
  <c r="M35"/>
  <c r="I35"/>
  <c r="H35"/>
  <c r="I34"/>
  <c r="H34"/>
  <c r="N33"/>
  <c r="I33"/>
  <c r="H32"/>
  <c r="M31"/>
  <c r="N31" s="1"/>
  <c r="I31"/>
  <c r="N30"/>
  <c r="N29"/>
  <c r="I29"/>
  <c r="N28"/>
  <c r="I28"/>
  <c r="N27"/>
  <c r="I27"/>
  <c r="N26"/>
  <c r="I26"/>
  <c r="N25"/>
  <c r="I25"/>
  <c r="N24"/>
  <c r="I24"/>
  <c r="N23"/>
  <c r="N22"/>
  <c r="I22"/>
  <c r="N21"/>
  <c r="I21"/>
  <c r="I20"/>
  <c r="N19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K2"/>
  <c r="N124" i="91"/>
  <c r="I124"/>
  <c r="N123"/>
  <c r="M122"/>
  <c r="N122" s="1"/>
  <c r="N121"/>
  <c r="N120"/>
  <c r="N119"/>
  <c r="N118"/>
  <c r="J118"/>
  <c r="I118"/>
  <c r="N117"/>
  <c r="J117"/>
  <c r="N116"/>
  <c r="N115"/>
  <c r="N114"/>
  <c r="N113"/>
  <c r="N112"/>
  <c r="I112"/>
  <c r="N111"/>
  <c r="I111"/>
  <c r="N110"/>
  <c r="I110"/>
  <c r="N109"/>
  <c r="I109"/>
  <c r="N108"/>
  <c r="I108"/>
  <c r="N107"/>
  <c r="I107"/>
  <c r="N106"/>
  <c r="I106"/>
  <c r="N105"/>
  <c r="L105"/>
  <c r="I105"/>
  <c r="N104"/>
  <c r="L104"/>
  <c r="I104"/>
  <c r="N103"/>
  <c r="J102"/>
  <c r="I102"/>
  <c r="N101"/>
  <c r="I101"/>
  <c r="M100"/>
  <c r="N100" s="1"/>
  <c r="J100"/>
  <c r="I100"/>
  <c r="M99"/>
  <c r="N99" s="1"/>
  <c r="J99"/>
  <c r="I99"/>
  <c r="N98"/>
  <c r="I98"/>
  <c r="N97"/>
  <c r="I97"/>
  <c r="N96"/>
  <c r="I96"/>
  <c r="I95"/>
  <c r="N94"/>
  <c r="N93"/>
  <c r="L93"/>
  <c r="I93"/>
  <c r="N92"/>
  <c r="J92"/>
  <c r="I92"/>
  <c r="N91"/>
  <c r="I91"/>
  <c r="N90"/>
  <c r="I90"/>
  <c r="N89"/>
  <c r="N88"/>
  <c r="N87"/>
  <c r="I87"/>
  <c r="N86"/>
  <c r="I86"/>
  <c r="N85"/>
  <c r="I85"/>
  <c r="N84"/>
  <c r="N83"/>
  <c r="I83"/>
  <c r="N82"/>
  <c r="I82"/>
  <c r="N81"/>
  <c r="I81"/>
  <c r="N80"/>
  <c r="I80"/>
  <c r="N79"/>
  <c r="I79"/>
  <c r="N78"/>
  <c r="M78"/>
  <c r="N77"/>
  <c r="I77"/>
  <c r="N76"/>
  <c r="I76"/>
  <c r="N75"/>
  <c r="I75"/>
  <c r="N74"/>
  <c r="I74"/>
  <c r="N73"/>
  <c r="I73"/>
  <c r="N72"/>
  <c r="I72"/>
  <c r="N71"/>
  <c r="I71"/>
  <c r="N70"/>
  <c r="I70"/>
  <c r="N69"/>
  <c r="I69"/>
  <c r="N68"/>
  <c r="J68"/>
  <c r="I68"/>
  <c r="N67"/>
  <c r="J67"/>
  <c r="I67"/>
  <c r="N66"/>
  <c r="I66"/>
  <c r="N65"/>
  <c r="I65"/>
  <c r="N64"/>
  <c r="I64"/>
  <c r="N63"/>
  <c r="I63"/>
  <c r="N62"/>
  <c r="I62"/>
  <c r="N61"/>
  <c r="I61"/>
  <c r="N60"/>
  <c r="I60"/>
  <c r="N59"/>
  <c r="I59"/>
  <c r="M58"/>
  <c r="N58" s="1"/>
  <c r="I58"/>
  <c r="M57"/>
  <c r="N57" s="1"/>
  <c r="I57"/>
  <c r="N56"/>
  <c r="I56"/>
  <c r="N55"/>
  <c r="N54"/>
  <c r="I54"/>
  <c r="N53"/>
  <c r="I53"/>
  <c r="N52"/>
  <c r="I52"/>
  <c r="N51"/>
  <c r="I51"/>
  <c r="M50"/>
  <c r="N50" s="1"/>
  <c r="I50"/>
  <c r="M49"/>
  <c r="N49" s="1"/>
  <c r="I49"/>
  <c r="N48"/>
  <c r="I48"/>
  <c r="N47"/>
  <c r="I47"/>
  <c r="N46"/>
  <c r="I46"/>
  <c r="N45"/>
  <c r="I45"/>
  <c r="N44"/>
  <c r="I44"/>
  <c r="N43"/>
  <c r="N42"/>
  <c r="N41"/>
  <c r="I41"/>
  <c r="N40"/>
  <c r="I40"/>
  <c r="N39"/>
  <c r="I39"/>
  <c r="N38"/>
  <c r="H38"/>
  <c r="N37"/>
  <c r="N36"/>
  <c r="I36"/>
  <c r="K36" s="1"/>
  <c r="M35"/>
  <c r="I35"/>
  <c r="H35"/>
  <c r="K35" s="1"/>
  <c r="I34"/>
  <c r="H34"/>
  <c r="K34" s="1"/>
  <c r="N33"/>
  <c r="I33"/>
  <c r="H32"/>
  <c r="N31"/>
  <c r="M31"/>
  <c r="I31"/>
  <c r="N30"/>
  <c r="N29"/>
  <c r="I29"/>
  <c r="N28"/>
  <c r="I28"/>
  <c r="N27"/>
  <c r="I27"/>
  <c r="N26"/>
  <c r="I26"/>
  <c r="N25"/>
  <c r="I25"/>
  <c r="N24"/>
  <c r="I24"/>
  <c r="N23"/>
  <c r="N22"/>
  <c r="I22"/>
  <c r="N21"/>
  <c r="I21"/>
  <c r="I20"/>
  <c r="N19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K2"/>
  <c r="N135" i="89"/>
  <c r="I124"/>
  <c r="N124"/>
  <c r="N123"/>
  <c r="N122"/>
  <c r="N120"/>
  <c r="N119"/>
  <c r="N117"/>
  <c r="N133"/>
  <c r="N134"/>
  <c r="M122"/>
  <c r="N121"/>
  <c r="N118"/>
  <c r="J118"/>
  <c r="I118"/>
  <c r="J117"/>
  <c r="N116"/>
  <c r="N115"/>
  <c r="N114"/>
  <c r="N113"/>
  <c r="N112"/>
  <c r="I112"/>
  <c r="N111"/>
  <c r="I111"/>
  <c r="N110"/>
  <c r="I110"/>
  <c r="N109"/>
  <c r="I109"/>
  <c r="N108"/>
  <c r="I108"/>
  <c r="N107"/>
  <c r="I107"/>
  <c r="N106"/>
  <c r="I106"/>
  <c r="N105"/>
  <c r="L105"/>
  <c r="I105"/>
  <c r="N104"/>
  <c r="L104"/>
  <c r="I104"/>
  <c r="N103"/>
  <c r="J102"/>
  <c r="I102"/>
  <c r="N101"/>
  <c r="I101"/>
  <c r="M100"/>
  <c r="N100" s="1"/>
  <c r="J100"/>
  <c r="I100"/>
  <c r="M99"/>
  <c r="N99" s="1"/>
  <c r="J99"/>
  <c r="I99"/>
  <c r="N98"/>
  <c r="I98"/>
  <c r="N97"/>
  <c r="I97"/>
  <c r="N96"/>
  <c r="I96"/>
  <c r="I95"/>
  <c r="N94"/>
  <c r="N93"/>
  <c r="L93"/>
  <c r="I93"/>
  <c r="N92"/>
  <c r="J92"/>
  <c r="I92"/>
  <c r="N91"/>
  <c r="I91"/>
  <c r="N90"/>
  <c r="I90"/>
  <c r="N89"/>
  <c r="N88"/>
  <c r="N87"/>
  <c r="I87"/>
  <c r="N86"/>
  <c r="I86"/>
  <c r="N85"/>
  <c r="I85"/>
  <c r="N84"/>
  <c r="N83"/>
  <c r="I83"/>
  <c r="N82"/>
  <c r="I82"/>
  <c r="N81"/>
  <c r="I81"/>
  <c r="N80"/>
  <c r="I80"/>
  <c r="N79"/>
  <c r="I79"/>
  <c r="N78"/>
  <c r="M78"/>
  <c r="N77"/>
  <c r="I77"/>
  <c r="N76"/>
  <c r="I76"/>
  <c r="N75"/>
  <c r="I75"/>
  <c r="N74"/>
  <c r="I74"/>
  <c r="N73"/>
  <c r="I73"/>
  <c r="N72"/>
  <c r="I72"/>
  <c r="N71"/>
  <c r="I71"/>
  <c r="N70"/>
  <c r="I70"/>
  <c r="N69"/>
  <c r="I69"/>
  <c r="N68"/>
  <c r="J68"/>
  <c r="I68"/>
  <c r="N67"/>
  <c r="J67"/>
  <c r="I67"/>
  <c r="N66"/>
  <c r="I66"/>
  <c r="N65"/>
  <c r="I65"/>
  <c r="N64"/>
  <c r="I64"/>
  <c r="N63"/>
  <c r="I63"/>
  <c r="N62"/>
  <c r="I62"/>
  <c r="N61"/>
  <c r="I61"/>
  <c r="N60"/>
  <c r="I60"/>
  <c r="N59"/>
  <c r="I59"/>
  <c r="M58"/>
  <c r="N58" s="1"/>
  <c r="I58"/>
  <c r="M57"/>
  <c r="N57" s="1"/>
  <c r="I57"/>
  <c r="N56"/>
  <c r="I56"/>
  <c r="N55"/>
  <c r="N54"/>
  <c r="I54"/>
  <c r="N53"/>
  <c r="I53"/>
  <c r="N52"/>
  <c r="I52"/>
  <c r="N51"/>
  <c r="I51"/>
  <c r="M50"/>
  <c r="N50" s="1"/>
  <c r="I50"/>
  <c r="N49"/>
  <c r="M49"/>
  <c r="I49"/>
  <c r="N48"/>
  <c r="I48"/>
  <c r="N47"/>
  <c r="I47"/>
  <c r="N46"/>
  <c r="I46"/>
  <c r="N45"/>
  <c r="I45"/>
  <c r="N44"/>
  <c r="I44"/>
  <c r="N43"/>
  <c r="N42"/>
  <c r="N41"/>
  <c r="I41"/>
  <c r="N40"/>
  <c r="I40"/>
  <c r="N39"/>
  <c r="I39"/>
  <c r="N38"/>
  <c r="H38"/>
  <c r="N37"/>
  <c r="N36"/>
  <c r="I36"/>
  <c r="K36" s="1"/>
  <c r="M35"/>
  <c r="I35"/>
  <c r="H35"/>
  <c r="I34"/>
  <c r="H34"/>
  <c r="N33"/>
  <c r="I33"/>
  <c r="H32"/>
  <c r="M31"/>
  <c r="N31" s="1"/>
  <c r="I31"/>
  <c r="N30"/>
  <c r="N29"/>
  <c r="I29"/>
  <c r="N28"/>
  <c r="I28"/>
  <c r="N27"/>
  <c r="I27"/>
  <c r="N26"/>
  <c r="I26"/>
  <c r="N25"/>
  <c r="I25"/>
  <c r="N24"/>
  <c r="I24"/>
  <c r="N23"/>
  <c r="N22"/>
  <c r="I22"/>
  <c r="N21"/>
  <c r="I21"/>
  <c r="I20"/>
  <c r="N19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N125" s="1"/>
  <c r="N126" s="1"/>
  <c r="K2"/>
  <c r="N60" i="88"/>
  <c r="N123"/>
  <c r="M122"/>
  <c r="N122" s="1"/>
  <c r="N121"/>
  <c r="N120"/>
  <c r="N119"/>
  <c r="N118"/>
  <c r="J118"/>
  <c r="I118"/>
  <c r="N117"/>
  <c r="J117"/>
  <c r="N116"/>
  <c r="N115"/>
  <c r="N114"/>
  <c r="N113"/>
  <c r="N112"/>
  <c r="I112"/>
  <c r="N111"/>
  <c r="I111"/>
  <c r="N110"/>
  <c r="I110"/>
  <c r="N109"/>
  <c r="I109"/>
  <c r="N108"/>
  <c r="I108"/>
  <c r="N107"/>
  <c r="I107"/>
  <c r="N106"/>
  <c r="I106"/>
  <c r="N105"/>
  <c r="L105"/>
  <c r="I105"/>
  <c r="N104"/>
  <c r="L104"/>
  <c r="I104"/>
  <c r="N103"/>
  <c r="J102"/>
  <c r="I102"/>
  <c r="N101"/>
  <c r="I101"/>
  <c r="M100"/>
  <c r="N100" s="1"/>
  <c r="J100"/>
  <c r="I100"/>
  <c r="M99"/>
  <c r="N99" s="1"/>
  <c r="J99"/>
  <c r="I99"/>
  <c r="N98"/>
  <c r="I98"/>
  <c r="N97"/>
  <c r="I97"/>
  <c r="N96"/>
  <c r="I96"/>
  <c r="I95"/>
  <c r="N94"/>
  <c r="N93"/>
  <c r="L93"/>
  <c r="I93"/>
  <c r="N92"/>
  <c r="J92"/>
  <c r="I92"/>
  <c r="N91"/>
  <c r="I91"/>
  <c r="N90"/>
  <c r="I90"/>
  <c r="N89"/>
  <c r="N88"/>
  <c r="N87"/>
  <c r="I87"/>
  <c r="N86"/>
  <c r="I86"/>
  <c r="N85"/>
  <c r="I85"/>
  <c r="N84"/>
  <c r="N83"/>
  <c r="I83"/>
  <c r="N82"/>
  <c r="I82"/>
  <c r="N81"/>
  <c r="I81"/>
  <c r="N80"/>
  <c r="I80"/>
  <c r="N79"/>
  <c r="I79"/>
  <c r="N78"/>
  <c r="M78"/>
  <c r="N77"/>
  <c r="I77"/>
  <c r="N76"/>
  <c r="I76"/>
  <c r="N75"/>
  <c r="I75"/>
  <c r="N74"/>
  <c r="I74"/>
  <c r="N73"/>
  <c r="I73"/>
  <c r="N72"/>
  <c r="I72"/>
  <c r="N71"/>
  <c r="I71"/>
  <c r="N70"/>
  <c r="I70"/>
  <c r="N69"/>
  <c r="I69"/>
  <c r="N68"/>
  <c r="J68"/>
  <c r="I68"/>
  <c r="N67"/>
  <c r="J67"/>
  <c r="I67"/>
  <c r="N66"/>
  <c r="I66"/>
  <c r="N65"/>
  <c r="I65"/>
  <c r="N64"/>
  <c r="I64"/>
  <c r="N63"/>
  <c r="I63"/>
  <c r="N62"/>
  <c r="I62"/>
  <c r="N61"/>
  <c r="I61"/>
  <c r="I60"/>
  <c r="N59"/>
  <c r="I59"/>
  <c r="M58"/>
  <c r="N58" s="1"/>
  <c r="I58"/>
  <c r="M57"/>
  <c r="N57" s="1"/>
  <c r="I57"/>
  <c r="N56"/>
  <c r="I56"/>
  <c r="N55"/>
  <c r="N54"/>
  <c r="I54"/>
  <c r="N53"/>
  <c r="I53"/>
  <c r="N52"/>
  <c r="I52"/>
  <c r="N51"/>
  <c r="I51"/>
  <c r="M50"/>
  <c r="N50" s="1"/>
  <c r="I50"/>
  <c r="M49"/>
  <c r="N49" s="1"/>
  <c r="I49"/>
  <c r="N48"/>
  <c r="I48"/>
  <c r="N47"/>
  <c r="I47"/>
  <c r="N46"/>
  <c r="I46"/>
  <c r="N45"/>
  <c r="I45"/>
  <c r="N44"/>
  <c r="I44"/>
  <c r="N43"/>
  <c r="N42"/>
  <c r="N41"/>
  <c r="I41"/>
  <c r="N40"/>
  <c r="I40"/>
  <c r="N39"/>
  <c r="I39"/>
  <c r="N38"/>
  <c r="H38"/>
  <c r="N37"/>
  <c r="N36"/>
  <c r="I36"/>
  <c r="K36" s="1"/>
  <c r="M35"/>
  <c r="I35"/>
  <c r="H35"/>
  <c r="I34"/>
  <c r="H34"/>
  <c r="N33"/>
  <c r="I33"/>
  <c r="H32"/>
  <c r="M31"/>
  <c r="N31" s="1"/>
  <c r="I31"/>
  <c r="N30"/>
  <c r="N29"/>
  <c r="I29"/>
  <c r="N28"/>
  <c r="I28"/>
  <c r="N27"/>
  <c r="I27"/>
  <c r="N26"/>
  <c r="I26"/>
  <c r="N25"/>
  <c r="I25"/>
  <c r="N24"/>
  <c r="I24"/>
  <c r="N23"/>
  <c r="N22"/>
  <c r="I22"/>
  <c r="N21"/>
  <c r="I21"/>
  <c r="I20"/>
  <c r="N19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K2"/>
  <c r="N125" i="87"/>
  <c r="M124"/>
  <c r="N124" s="1"/>
  <c r="N123"/>
  <c r="N120"/>
  <c r="N119"/>
  <c r="N122"/>
  <c r="N121"/>
  <c r="J120"/>
  <c r="I120"/>
  <c r="J119"/>
  <c r="N118"/>
  <c r="N117"/>
  <c r="N116"/>
  <c r="N115"/>
  <c r="N114"/>
  <c r="I114"/>
  <c r="N113"/>
  <c r="I113"/>
  <c r="N112"/>
  <c r="I112"/>
  <c r="N111"/>
  <c r="I111"/>
  <c r="N110"/>
  <c r="I110"/>
  <c r="N109"/>
  <c r="I109"/>
  <c r="N108"/>
  <c r="I108"/>
  <c r="N107"/>
  <c r="L107"/>
  <c r="I107"/>
  <c r="N106"/>
  <c r="L106"/>
  <c r="I106"/>
  <c r="N105"/>
  <c r="J104"/>
  <c r="I104"/>
  <c r="N103"/>
  <c r="I103"/>
  <c r="M102"/>
  <c r="N102" s="1"/>
  <c r="J102"/>
  <c r="I102"/>
  <c r="M101"/>
  <c r="N101" s="1"/>
  <c r="J101"/>
  <c r="I101"/>
  <c r="N100"/>
  <c r="I100"/>
  <c r="N99"/>
  <c r="I99"/>
  <c r="N98"/>
  <c r="I98"/>
  <c r="I97"/>
  <c r="N96"/>
  <c r="N95"/>
  <c r="L95"/>
  <c r="I95"/>
  <c r="N94"/>
  <c r="J94"/>
  <c r="I94"/>
  <c r="N93"/>
  <c r="I93"/>
  <c r="N92"/>
  <c r="I92"/>
  <c r="N91"/>
  <c r="I91"/>
  <c r="N90"/>
  <c r="N89"/>
  <c r="N88"/>
  <c r="I88"/>
  <c r="N87"/>
  <c r="I87"/>
  <c r="N86"/>
  <c r="I86"/>
  <c r="N85"/>
  <c r="N84"/>
  <c r="I84"/>
  <c r="N83"/>
  <c r="I83"/>
  <c r="N82"/>
  <c r="I82"/>
  <c r="N81"/>
  <c r="I81"/>
  <c r="N80"/>
  <c r="I80"/>
  <c r="N79"/>
  <c r="M79"/>
  <c r="N78"/>
  <c r="I78"/>
  <c r="N77"/>
  <c r="I77"/>
  <c r="N76"/>
  <c r="I76"/>
  <c r="N75"/>
  <c r="I75"/>
  <c r="N74"/>
  <c r="I74"/>
  <c r="N73"/>
  <c r="I73"/>
  <c r="N72"/>
  <c r="I72"/>
  <c r="N71"/>
  <c r="I71"/>
  <c r="N70"/>
  <c r="I70"/>
  <c r="N69"/>
  <c r="J69"/>
  <c r="I69"/>
  <c r="N68"/>
  <c r="J68"/>
  <c r="I68"/>
  <c r="N67"/>
  <c r="I67"/>
  <c r="N66"/>
  <c r="I66"/>
  <c r="N65"/>
  <c r="I65"/>
  <c r="N64"/>
  <c r="I64"/>
  <c r="N63"/>
  <c r="I63"/>
  <c r="N62"/>
  <c r="I62"/>
  <c r="N61"/>
  <c r="I61"/>
  <c r="N60"/>
  <c r="I60"/>
  <c r="N59"/>
  <c r="I59"/>
  <c r="M58"/>
  <c r="N58" s="1"/>
  <c r="I58"/>
  <c r="M57"/>
  <c r="N57" s="1"/>
  <c r="I57"/>
  <c r="N56"/>
  <c r="I56"/>
  <c r="N55"/>
  <c r="N54"/>
  <c r="I54"/>
  <c r="N53"/>
  <c r="I53"/>
  <c r="N52"/>
  <c r="I52"/>
  <c r="N51"/>
  <c r="I51"/>
  <c r="M50"/>
  <c r="N50" s="1"/>
  <c r="I50"/>
  <c r="M49"/>
  <c r="N49" s="1"/>
  <c r="I49"/>
  <c r="N48"/>
  <c r="I48"/>
  <c r="N47"/>
  <c r="I47"/>
  <c r="N46"/>
  <c r="I46"/>
  <c r="N45"/>
  <c r="I45"/>
  <c r="N44"/>
  <c r="I44"/>
  <c r="N43"/>
  <c r="N42"/>
  <c r="N41"/>
  <c r="I41"/>
  <c r="N40"/>
  <c r="I40"/>
  <c r="N39"/>
  <c r="I39"/>
  <c r="N38"/>
  <c r="H38"/>
  <c r="N37"/>
  <c r="N36"/>
  <c r="I36"/>
  <c r="K36" s="1"/>
  <c r="M35"/>
  <c r="I35"/>
  <c r="H35"/>
  <c r="I34"/>
  <c r="H34"/>
  <c r="N33"/>
  <c r="I33"/>
  <c r="H32"/>
  <c r="M31"/>
  <c r="N31" s="1"/>
  <c r="I31"/>
  <c r="N30"/>
  <c r="N29"/>
  <c r="I29"/>
  <c r="N28"/>
  <c r="I28"/>
  <c r="N27"/>
  <c r="I27"/>
  <c r="N26"/>
  <c r="I26"/>
  <c r="N25"/>
  <c r="I25"/>
  <c r="N24"/>
  <c r="I24"/>
  <c r="N23"/>
  <c r="N22"/>
  <c r="I22"/>
  <c r="N21"/>
  <c r="I21"/>
  <c r="I20"/>
  <c r="N19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N126" s="1"/>
  <c r="K2"/>
  <c r="I119" i="86"/>
  <c r="N119"/>
  <c r="J119"/>
  <c r="N118"/>
  <c r="N98"/>
  <c r="N117"/>
  <c r="N116"/>
  <c r="N115"/>
  <c r="N114"/>
  <c r="I114"/>
  <c r="N113"/>
  <c r="I113"/>
  <c r="N112"/>
  <c r="I112"/>
  <c r="N111"/>
  <c r="I111"/>
  <c r="N110"/>
  <c r="I110"/>
  <c r="N109"/>
  <c r="I109"/>
  <c r="N108"/>
  <c r="I108"/>
  <c r="N107"/>
  <c r="L107"/>
  <c r="I107"/>
  <c r="N106"/>
  <c r="L106"/>
  <c r="I106"/>
  <c r="N105"/>
  <c r="J104"/>
  <c r="I104"/>
  <c r="N103"/>
  <c r="I103"/>
  <c r="M102"/>
  <c r="N102" s="1"/>
  <c r="J102"/>
  <c r="I102"/>
  <c r="M101"/>
  <c r="N101" s="1"/>
  <c r="J101"/>
  <c r="I101"/>
  <c r="N100"/>
  <c r="I100"/>
  <c r="N99"/>
  <c r="I99"/>
  <c r="I98"/>
  <c r="I97"/>
  <c r="N96"/>
  <c r="N95"/>
  <c r="L95"/>
  <c r="I95"/>
  <c r="N94"/>
  <c r="J94"/>
  <c r="I94"/>
  <c r="N93"/>
  <c r="I93"/>
  <c r="N92"/>
  <c r="I92"/>
  <c r="N91"/>
  <c r="I91"/>
  <c r="N90"/>
  <c r="N89"/>
  <c r="N88"/>
  <c r="I88"/>
  <c r="N87"/>
  <c r="I87"/>
  <c r="N86"/>
  <c r="I86"/>
  <c r="N85"/>
  <c r="N84"/>
  <c r="I84"/>
  <c r="N83"/>
  <c r="I83"/>
  <c r="N82"/>
  <c r="I82"/>
  <c r="N81"/>
  <c r="I81"/>
  <c r="N80"/>
  <c r="I80"/>
  <c r="N79"/>
  <c r="M79"/>
  <c r="N78"/>
  <c r="I78"/>
  <c r="N77"/>
  <c r="I77"/>
  <c r="N76"/>
  <c r="I76"/>
  <c r="N75"/>
  <c r="I75"/>
  <c r="N74"/>
  <c r="I74"/>
  <c r="N73"/>
  <c r="I73"/>
  <c r="N72"/>
  <c r="I72"/>
  <c r="N71"/>
  <c r="I71"/>
  <c r="N70"/>
  <c r="I70"/>
  <c r="N69"/>
  <c r="J69"/>
  <c r="I69"/>
  <c r="N68"/>
  <c r="J68"/>
  <c r="I68"/>
  <c r="N67"/>
  <c r="I67"/>
  <c r="N66"/>
  <c r="I66"/>
  <c r="N65"/>
  <c r="I65"/>
  <c r="N64"/>
  <c r="I64"/>
  <c r="N63"/>
  <c r="I63"/>
  <c r="N62"/>
  <c r="I62"/>
  <c r="N61"/>
  <c r="I61"/>
  <c r="N60"/>
  <c r="I60"/>
  <c r="N59"/>
  <c r="I59"/>
  <c r="M58"/>
  <c r="N58" s="1"/>
  <c r="I58"/>
  <c r="M57"/>
  <c r="N57" s="1"/>
  <c r="I57"/>
  <c r="N56"/>
  <c r="I56"/>
  <c r="N55"/>
  <c r="N54"/>
  <c r="I54"/>
  <c r="N53"/>
  <c r="I53"/>
  <c r="N52"/>
  <c r="I52"/>
  <c r="N51"/>
  <c r="I51"/>
  <c r="M50"/>
  <c r="N50" s="1"/>
  <c r="I50"/>
  <c r="M49"/>
  <c r="N49" s="1"/>
  <c r="I49"/>
  <c r="N48"/>
  <c r="I48"/>
  <c r="N47"/>
  <c r="I47"/>
  <c r="N46"/>
  <c r="I46"/>
  <c r="N45"/>
  <c r="I45"/>
  <c r="N44"/>
  <c r="I44"/>
  <c r="N43"/>
  <c r="N42"/>
  <c r="N41"/>
  <c r="I41"/>
  <c r="N40"/>
  <c r="I40"/>
  <c r="N39"/>
  <c r="I39"/>
  <c r="N38"/>
  <c r="H38"/>
  <c r="N37"/>
  <c r="N36"/>
  <c r="I36"/>
  <c r="K36" s="1"/>
  <c r="M35"/>
  <c r="I35"/>
  <c r="H35"/>
  <c r="I34"/>
  <c r="H34"/>
  <c r="N33"/>
  <c r="I33"/>
  <c r="H32"/>
  <c r="M31"/>
  <c r="N31" s="1"/>
  <c r="I31"/>
  <c r="N30"/>
  <c r="N29"/>
  <c r="I29"/>
  <c r="N28"/>
  <c r="I28"/>
  <c r="N27"/>
  <c r="I27"/>
  <c r="N26"/>
  <c r="I26"/>
  <c r="N25"/>
  <c r="I25"/>
  <c r="N24"/>
  <c r="I24"/>
  <c r="N23"/>
  <c r="N22"/>
  <c r="I22"/>
  <c r="N21"/>
  <c r="I21"/>
  <c r="I20"/>
  <c r="N19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N120" s="1"/>
  <c r="K2"/>
  <c r="N114" i="85"/>
  <c r="N77"/>
  <c r="N132" i="95" l="1"/>
  <c r="N133" s="1"/>
  <c r="K34" i="92"/>
  <c r="K34" i="100"/>
  <c r="R1" i="115"/>
  <c r="R3" s="1"/>
  <c r="X121"/>
  <c r="X3" s="1"/>
  <c r="N144" i="110"/>
  <c r="N145" s="1"/>
  <c r="K32" i="107"/>
  <c r="N141"/>
  <c r="K33"/>
  <c r="K33" i="106"/>
  <c r="K32"/>
  <c r="N141"/>
  <c r="N142" s="1"/>
  <c r="K32" i="104"/>
  <c r="K33"/>
  <c r="K34" i="103"/>
  <c r="K33"/>
  <c r="N139" i="102"/>
  <c r="N140" s="1"/>
  <c r="K34"/>
  <c r="K33"/>
  <c r="N136" i="100"/>
  <c r="N137" s="1"/>
  <c r="N135" i="99"/>
  <c r="N136" s="1"/>
  <c r="K33"/>
  <c r="N134" i="98"/>
  <c r="N135" s="1"/>
  <c r="K34"/>
  <c r="K33"/>
  <c r="K33" i="97"/>
  <c r="K34"/>
  <c r="N132" i="96"/>
  <c r="N133" s="1"/>
  <c r="K33" i="95"/>
  <c r="K34" i="94"/>
  <c r="K33"/>
  <c r="N130" i="93"/>
  <c r="N131" s="1"/>
  <c r="K34"/>
  <c r="K33"/>
  <c r="K35" i="92"/>
  <c r="N125"/>
  <c r="N126" s="1"/>
  <c r="N125" i="91"/>
  <c r="N126" s="1"/>
  <c r="K35" i="89"/>
  <c r="K34"/>
  <c r="K34" i="88"/>
  <c r="K35"/>
  <c r="N124"/>
  <c r="K34" i="87"/>
  <c r="K35"/>
  <c r="K34" i="86"/>
  <c r="K35"/>
  <c r="N117" i="85"/>
  <c r="N116"/>
  <c r="N115"/>
  <c r="I114"/>
  <c r="N113"/>
  <c r="I113"/>
  <c r="N112"/>
  <c r="I112"/>
  <c r="N111"/>
  <c r="I111"/>
  <c r="N110"/>
  <c r="I110"/>
  <c r="N109"/>
  <c r="I109"/>
  <c r="N108"/>
  <c r="I108"/>
  <c r="N107"/>
  <c r="L107"/>
  <c r="I107"/>
  <c r="N106"/>
  <c r="L106"/>
  <c r="I106"/>
  <c r="N105"/>
  <c r="J104"/>
  <c r="I104"/>
  <c r="N103"/>
  <c r="I103"/>
  <c r="M102"/>
  <c r="N102" s="1"/>
  <c r="J102"/>
  <c r="I102"/>
  <c r="M101"/>
  <c r="N101" s="1"/>
  <c r="J101"/>
  <c r="I101"/>
  <c r="N100"/>
  <c r="I100"/>
  <c r="N99"/>
  <c r="I99"/>
  <c r="N98"/>
  <c r="I98"/>
  <c r="I97"/>
  <c r="N96"/>
  <c r="N95"/>
  <c r="L95"/>
  <c r="I95"/>
  <c r="N94"/>
  <c r="J94"/>
  <c r="I94"/>
  <c r="N93"/>
  <c r="I93"/>
  <c r="N92"/>
  <c r="I92"/>
  <c r="N91"/>
  <c r="I91"/>
  <c r="N90"/>
  <c r="N89"/>
  <c r="N88"/>
  <c r="I88"/>
  <c r="N87"/>
  <c r="I87"/>
  <c r="N86"/>
  <c r="I86"/>
  <c r="N85"/>
  <c r="N84"/>
  <c r="I84"/>
  <c r="N83"/>
  <c r="I83"/>
  <c r="N82"/>
  <c r="I82"/>
  <c r="N81"/>
  <c r="I81"/>
  <c r="N80"/>
  <c r="I80"/>
  <c r="N79"/>
  <c r="M79"/>
  <c r="N78"/>
  <c r="I78"/>
  <c r="I77"/>
  <c r="N76"/>
  <c r="I76"/>
  <c r="N75"/>
  <c r="I75"/>
  <c r="N74"/>
  <c r="I74"/>
  <c r="N73"/>
  <c r="I73"/>
  <c r="N72"/>
  <c r="I72"/>
  <c r="N71"/>
  <c r="I71"/>
  <c r="N70"/>
  <c r="I70"/>
  <c r="N69"/>
  <c r="J69"/>
  <c r="I69"/>
  <c r="N68"/>
  <c r="J68"/>
  <c r="I68"/>
  <c r="N67"/>
  <c r="I67"/>
  <c r="N66"/>
  <c r="I66"/>
  <c r="N65"/>
  <c r="I65"/>
  <c r="N64"/>
  <c r="I64"/>
  <c r="N63"/>
  <c r="I63"/>
  <c r="N62"/>
  <c r="I62"/>
  <c r="N61"/>
  <c r="I61"/>
  <c r="N60"/>
  <c r="I60"/>
  <c r="N59"/>
  <c r="I59"/>
  <c r="M58"/>
  <c r="N58" s="1"/>
  <c r="I58"/>
  <c r="M57"/>
  <c r="N57" s="1"/>
  <c r="I57"/>
  <c r="N56"/>
  <c r="I56"/>
  <c r="N55"/>
  <c r="N54"/>
  <c r="I54"/>
  <c r="N53"/>
  <c r="I53"/>
  <c r="N52"/>
  <c r="I52"/>
  <c r="N51"/>
  <c r="I51"/>
  <c r="M50"/>
  <c r="N50" s="1"/>
  <c r="I50"/>
  <c r="M49"/>
  <c r="N49" s="1"/>
  <c r="I49"/>
  <c r="N48"/>
  <c r="I48"/>
  <c r="N47"/>
  <c r="I47"/>
  <c r="N46"/>
  <c r="I46"/>
  <c r="N45"/>
  <c r="I45"/>
  <c r="N44"/>
  <c r="I44"/>
  <c r="N43"/>
  <c r="N42"/>
  <c r="N41"/>
  <c r="I41"/>
  <c r="N40"/>
  <c r="I40"/>
  <c r="N39"/>
  <c r="I39"/>
  <c r="N38"/>
  <c r="H38"/>
  <c r="N37"/>
  <c r="N36"/>
  <c r="I36"/>
  <c r="K36" s="1"/>
  <c r="M35"/>
  <c r="I35"/>
  <c r="H35"/>
  <c r="I34"/>
  <c r="H34"/>
  <c r="K34" s="1"/>
  <c r="N33"/>
  <c r="I33"/>
  <c r="H32"/>
  <c r="M31"/>
  <c r="N31" s="1"/>
  <c r="I31"/>
  <c r="N30"/>
  <c r="N29"/>
  <c r="I29"/>
  <c r="N28"/>
  <c r="I28"/>
  <c r="N27"/>
  <c r="I27"/>
  <c r="N26"/>
  <c r="I26"/>
  <c r="N25"/>
  <c r="I25"/>
  <c r="N24"/>
  <c r="I24"/>
  <c r="N23"/>
  <c r="N22"/>
  <c r="I22"/>
  <c r="N21"/>
  <c r="I21"/>
  <c r="I20"/>
  <c r="N19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K2"/>
  <c r="N117" i="84"/>
  <c r="N116"/>
  <c r="I116" i="83"/>
  <c r="N115" i="84"/>
  <c r="N117" i="83"/>
  <c r="N114" i="84"/>
  <c r="I114"/>
  <c r="N113"/>
  <c r="N112"/>
  <c r="I113"/>
  <c r="I112"/>
  <c r="N111"/>
  <c r="I111"/>
  <c r="N110"/>
  <c r="I110"/>
  <c r="N109"/>
  <c r="I109"/>
  <c r="N108"/>
  <c r="I108"/>
  <c r="N107"/>
  <c r="L107"/>
  <c r="I107"/>
  <c r="N106"/>
  <c r="L106"/>
  <c r="I106"/>
  <c r="N105"/>
  <c r="J104"/>
  <c r="I104"/>
  <c r="N103"/>
  <c r="I103"/>
  <c r="M102"/>
  <c r="N102" s="1"/>
  <c r="J102"/>
  <c r="I102"/>
  <c r="M101"/>
  <c r="N101" s="1"/>
  <c r="J101"/>
  <c r="I101"/>
  <c r="N100"/>
  <c r="I100"/>
  <c r="N99"/>
  <c r="I99"/>
  <c r="N98"/>
  <c r="I98"/>
  <c r="I97"/>
  <c r="N96"/>
  <c r="N95"/>
  <c r="L95"/>
  <c r="I95"/>
  <c r="N94"/>
  <c r="J94"/>
  <c r="I94"/>
  <c r="N93"/>
  <c r="I93"/>
  <c r="N92"/>
  <c r="I92"/>
  <c r="N91"/>
  <c r="I91"/>
  <c r="N90"/>
  <c r="N89"/>
  <c r="N88"/>
  <c r="I88"/>
  <c r="N87"/>
  <c r="I87"/>
  <c r="N86"/>
  <c r="I86"/>
  <c r="N85"/>
  <c r="N84"/>
  <c r="I84"/>
  <c r="N83"/>
  <c r="I83"/>
  <c r="N82"/>
  <c r="I82"/>
  <c r="N81"/>
  <c r="I81"/>
  <c r="N80"/>
  <c r="I80"/>
  <c r="N79"/>
  <c r="M79"/>
  <c r="N78"/>
  <c r="I78"/>
  <c r="N77"/>
  <c r="I77"/>
  <c r="N76"/>
  <c r="I76"/>
  <c r="N75"/>
  <c r="I75"/>
  <c r="N74"/>
  <c r="I74"/>
  <c r="N73"/>
  <c r="I73"/>
  <c r="N72"/>
  <c r="I72"/>
  <c r="N71"/>
  <c r="I71"/>
  <c r="N70"/>
  <c r="I70"/>
  <c r="N69"/>
  <c r="J69"/>
  <c r="I69"/>
  <c r="N68"/>
  <c r="J68"/>
  <c r="I68"/>
  <c r="N67"/>
  <c r="I67"/>
  <c r="N66"/>
  <c r="I66"/>
  <c r="N65"/>
  <c r="I65"/>
  <c r="N64"/>
  <c r="I64"/>
  <c r="N63"/>
  <c r="I63"/>
  <c r="N62"/>
  <c r="I62"/>
  <c r="N61"/>
  <c r="I61"/>
  <c r="N60"/>
  <c r="I60"/>
  <c r="N59"/>
  <c r="I59"/>
  <c r="M58"/>
  <c r="N58" s="1"/>
  <c r="I58"/>
  <c r="M57"/>
  <c r="N57" s="1"/>
  <c r="I57"/>
  <c r="N56"/>
  <c r="I56"/>
  <c r="N55"/>
  <c r="N54"/>
  <c r="I54"/>
  <c r="N53"/>
  <c r="I53"/>
  <c r="N52"/>
  <c r="I52"/>
  <c r="N51"/>
  <c r="I51"/>
  <c r="M50"/>
  <c r="N50" s="1"/>
  <c r="I50"/>
  <c r="M49"/>
  <c r="N49" s="1"/>
  <c r="I49"/>
  <c r="N48"/>
  <c r="I48"/>
  <c r="N47"/>
  <c r="I47"/>
  <c r="N46"/>
  <c r="I46"/>
  <c r="N45"/>
  <c r="I45"/>
  <c r="N44"/>
  <c r="I44"/>
  <c r="N43"/>
  <c r="N42"/>
  <c r="N41"/>
  <c r="I41"/>
  <c r="N40"/>
  <c r="I40"/>
  <c r="N39"/>
  <c r="I39"/>
  <c r="N38"/>
  <c r="H38"/>
  <c r="N37"/>
  <c r="N36"/>
  <c r="I36"/>
  <c r="K36" s="1"/>
  <c r="M35"/>
  <c r="I35"/>
  <c r="H35"/>
  <c r="I34"/>
  <c r="H34"/>
  <c r="N33"/>
  <c r="I33"/>
  <c r="H32"/>
  <c r="M31"/>
  <c r="N31" s="1"/>
  <c r="I31"/>
  <c r="N30"/>
  <c r="N29"/>
  <c r="I29"/>
  <c r="N28"/>
  <c r="I28"/>
  <c r="N27"/>
  <c r="I27"/>
  <c r="N26"/>
  <c r="I26"/>
  <c r="N25"/>
  <c r="I25"/>
  <c r="N24"/>
  <c r="I24"/>
  <c r="N23"/>
  <c r="N22"/>
  <c r="I22"/>
  <c r="N21"/>
  <c r="I21"/>
  <c r="I20"/>
  <c r="N19"/>
  <c r="I19"/>
  <c r="N18"/>
  <c r="I18"/>
  <c r="N17"/>
  <c r="I17"/>
  <c r="N16"/>
  <c r="I16"/>
  <c r="N15"/>
  <c r="J15"/>
  <c r="I15"/>
  <c r="N14"/>
  <c r="I14"/>
  <c r="N13"/>
  <c r="I13"/>
  <c r="N12"/>
  <c r="I12"/>
  <c r="L11"/>
  <c r="N11" s="1"/>
  <c r="I11"/>
  <c r="N10"/>
  <c r="I10"/>
  <c r="N9"/>
  <c r="I9"/>
  <c r="N8"/>
  <c r="I8"/>
  <c r="H8"/>
  <c r="N7"/>
  <c r="I7"/>
  <c r="N6"/>
  <c r="I6"/>
  <c r="H6"/>
  <c r="N5"/>
  <c r="N4"/>
  <c r="K4"/>
  <c r="I4"/>
  <c r="N3"/>
  <c r="N2"/>
  <c r="K2"/>
  <c r="N116" i="83"/>
  <c r="N115"/>
  <c r="I115"/>
  <c r="N118" i="84" l="1"/>
  <c r="K35" i="85"/>
  <c r="N118"/>
  <c r="K34" i="84"/>
  <c r="K35"/>
  <c r="N114" i="83"/>
  <c r="I114"/>
  <c r="N113"/>
  <c r="I113"/>
  <c r="N112"/>
  <c r="I112"/>
  <c r="N111"/>
  <c r="I111"/>
  <c r="N110"/>
  <c r="L110"/>
  <c r="I110"/>
  <c r="N109"/>
  <c r="L109"/>
  <c r="I109"/>
  <c r="N108"/>
  <c r="J107"/>
  <c r="I107"/>
  <c r="N106"/>
  <c r="I106"/>
  <c r="M105"/>
  <c r="N105" s="1"/>
  <c r="J105"/>
  <c r="I105"/>
  <c r="M104"/>
  <c r="N104" s="1"/>
  <c r="J104"/>
  <c r="I104"/>
  <c r="N103"/>
  <c r="I103"/>
  <c r="N102"/>
  <c r="I102"/>
  <c r="N101"/>
  <c r="I101"/>
  <c r="I100"/>
  <c r="N99"/>
  <c r="N98"/>
  <c r="L98"/>
  <c r="I98"/>
  <c r="N97"/>
  <c r="J97"/>
  <c r="I97"/>
  <c r="N96"/>
  <c r="I96"/>
  <c r="N95"/>
  <c r="I95"/>
  <c r="N94"/>
  <c r="I94"/>
  <c r="N93"/>
  <c r="N92"/>
  <c r="N91"/>
  <c r="I91"/>
  <c r="N90"/>
  <c r="I90"/>
  <c r="N89"/>
  <c r="I89"/>
  <c r="N88"/>
  <c r="N87"/>
  <c r="I87"/>
  <c r="N86"/>
  <c r="I86"/>
  <c r="N85"/>
  <c r="I85"/>
  <c r="N84"/>
  <c r="I84"/>
  <c r="N83"/>
  <c r="I83"/>
  <c r="N82"/>
  <c r="M82"/>
  <c r="N81"/>
  <c r="I81"/>
  <c r="N80"/>
  <c r="I80"/>
  <c r="N79"/>
  <c r="I79"/>
  <c r="N78"/>
  <c r="I78"/>
  <c r="N77"/>
  <c r="I77"/>
  <c r="N76"/>
  <c r="I76"/>
  <c r="N75"/>
  <c r="I75"/>
  <c r="N74"/>
  <c r="I74"/>
  <c r="N73"/>
  <c r="I73"/>
  <c r="N72"/>
  <c r="J72"/>
  <c r="I72"/>
  <c r="N71"/>
  <c r="J71"/>
  <c r="I71"/>
  <c r="N70"/>
  <c r="I70"/>
  <c r="N69"/>
  <c r="I69"/>
  <c r="N68"/>
  <c r="I68"/>
  <c r="N67"/>
  <c r="I67"/>
  <c r="N66"/>
  <c r="I66"/>
  <c r="N65"/>
  <c r="I65"/>
  <c r="N64"/>
  <c r="I64"/>
  <c r="N63"/>
  <c r="I63"/>
  <c r="N62"/>
  <c r="I62"/>
  <c r="M61"/>
  <c r="N61" s="1"/>
  <c r="I61"/>
  <c r="M60"/>
  <c r="N60" s="1"/>
  <c r="I60"/>
  <c r="N59"/>
  <c r="I59"/>
  <c r="N58"/>
  <c r="N57"/>
  <c r="I57"/>
  <c r="N56"/>
  <c r="I56"/>
  <c r="N55"/>
  <c r="I55"/>
  <c r="N54"/>
  <c r="M54"/>
  <c r="I54"/>
  <c r="N53"/>
  <c r="I53"/>
  <c r="M52"/>
  <c r="N52" s="1"/>
  <c r="I52"/>
  <c r="M51"/>
  <c r="N51" s="1"/>
  <c r="I51"/>
  <c r="N50"/>
  <c r="I50"/>
  <c r="N49"/>
  <c r="I49"/>
  <c r="N48"/>
  <c r="I48"/>
  <c r="N47"/>
  <c r="I47"/>
  <c r="N46"/>
  <c r="I46"/>
  <c r="N45"/>
  <c r="I45"/>
  <c r="N44"/>
  <c r="N43"/>
  <c r="N42"/>
  <c r="I42"/>
  <c r="N41"/>
  <c r="I41"/>
  <c r="N40"/>
  <c r="I40"/>
  <c r="N39"/>
  <c r="H39"/>
  <c r="N38"/>
  <c r="N37"/>
  <c r="I37"/>
  <c r="K37" s="1"/>
  <c r="M36"/>
  <c r="I36"/>
  <c r="H36"/>
  <c r="I35"/>
  <c r="H35"/>
  <c r="N34"/>
  <c r="I34"/>
  <c r="H33"/>
  <c r="M32"/>
  <c r="N32" s="1"/>
  <c r="I32"/>
  <c r="N31"/>
  <c r="N30"/>
  <c r="I30"/>
  <c r="N29"/>
  <c r="I29"/>
  <c r="N28"/>
  <c r="I28"/>
  <c r="N27"/>
  <c r="I27"/>
  <c r="N26"/>
  <c r="I26"/>
  <c r="N25"/>
  <c r="I25"/>
  <c r="N24"/>
  <c r="N23"/>
  <c r="I23"/>
  <c r="N22"/>
  <c r="I22"/>
  <c r="I21"/>
  <c r="N20"/>
  <c r="I20"/>
  <c r="N19"/>
  <c r="I19"/>
  <c r="N18"/>
  <c r="I18"/>
  <c r="N17"/>
  <c r="I17"/>
  <c r="N16"/>
  <c r="J16"/>
  <c r="I16"/>
  <c r="N15"/>
  <c r="I15"/>
  <c r="N14"/>
  <c r="I14"/>
  <c r="N13"/>
  <c r="I13"/>
  <c r="L12"/>
  <c r="N12" s="1"/>
  <c r="I12"/>
  <c r="N11"/>
  <c r="I11"/>
  <c r="N10"/>
  <c r="I10"/>
  <c r="N9"/>
  <c r="I9"/>
  <c r="H9"/>
  <c r="N8"/>
  <c r="I8"/>
  <c r="N7"/>
  <c r="I7"/>
  <c r="H7"/>
  <c r="N6"/>
  <c r="N5"/>
  <c r="N4"/>
  <c r="K4"/>
  <c r="I4"/>
  <c r="N3"/>
  <c r="N2"/>
  <c r="K2"/>
  <c r="N114" i="82"/>
  <c r="I114"/>
  <c r="N113"/>
  <c r="I113"/>
  <c r="N112"/>
  <c r="I112"/>
  <c r="N111"/>
  <c r="I111"/>
  <c r="N110"/>
  <c r="L110"/>
  <c r="I110"/>
  <c r="N109"/>
  <c r="L109"/>
  <c r="I109"/>
  <c r="N108"/>
  <c r="J107"/>
  <c r="I107"/>
  <c r="N106"/>
  <c r="I106"/>
  <c r="M105"/>
  <c r="N105" s="1"/>
  <c r="J105"/>
  <c r="I105"/>
  <c r="M104"/>
  <c r="N104" s="1"/>
  <c r="J104"/>
  <c r="I104"/>
  <c r="N103"/>
  <c r="I103"/>
  <c r="N102"/>
  <c r="I102"/>
  <c r="N101"/>
  <c r="I101"/>
  <c r="I100"/>
  <c r="N99"/>
  <c r="N98"/>
  <c r="L98"/>
  <c r="I98"/>
  <c r="N97"/>
  <c r="J97"/>
  <c r="I97"/>
  <c r="N96"/>
  <c r="I96"/>
  <c r="N95"/>
  <c r="I95"/>
  <c r="N94"/>
  <c r="I94"/>
  <c r="N93"/>
  <c r="N92"/>
  <c r="N91"/>
  <c r="I91"/>
  <c r="N90"/>
  <c r="I90"/>
  <c r="N89"/>
  <c r="I89"/>
  <c r="N88"/>
  <c r="N87"/>
  <c r="I87"/>
  <c r="N86"/>
  <c r="I86"/>
  <c r="N85"/>
  <c r="I85"/>
  <c r="N84"/>
  <c r="I84"/>
  <c r="N83"/>
  <c r="I83"/>
  <c r="N82"/>
  <c r="M82"/>
  <c r="N81"/>
  <c r="I81"/>
  <c r="N80"/>
  <c r="I80"/>
  <c r="N79"/>
  <c r="I79"/>
  <c r="N78"/>
  <c r="I78"/>
  <c r="N77"/>
  <c r="I77"/>
  <c r="N76"/>
  <c r="I76"/>
  <c r="N75"/>
  <c r="I75"/>
  <c r="N74"/>
  <c r="I74"/>
  <c r="N73"/>
  <c r="I73"/>
  <c r="N72"/>
  <c r="J72"/>
  <c r="I72"/>
  <c r="N71"/>
  <c r="J71"/>
  <c r="I71"/>
  <c r="N70"/>
  <c r="I70"/>
  <c r="N69"/>
  <c r="I69"/>
  <c r="N68"/>
  <c r="I68"/>
  <c r="N67"/>
  <c r="I67"/>
  <c r="N66"/>
  <c r="I66"/>
  <c r="N65"/>
  <c r="I65"/>
  <c r="N64"/>
  <c r="I64"/>
  <c r="N63"/>
  <c r="I63"/>
  <c r="N62"/>
  <c r="I62"/>
  <c r="M61"/>
  <c r="N61" s="1"/>
  <c r="I61"/>
  <c r="M60"/>
  <c r="N60" s="1"/>
  <c r="I60"/>
  <c r="N59"/>
  <c r="I59"/>
  <c r="N58"/>
  <c r="N57"/>
  <c r="I57"/>
  <c r="N56"/>
  <c r="I56"/>
  <c r="N55"/>
  <c r="I55"/>
  <c r="N54"/>
  <c r="M54"/>
  <c r="I54"/>
  <c r="N53"/>
  <c r="I53"/>
  <c r="M52"/>
  <c r="N52" s="1"/>
  <c r="I52"/>
  <c r="M51"/>
  <c r="N51" s="1"/>
  <c r="I51"/>
  <c r="N50"/>
  <c r="I50"/>
  <c r="N49"/>
  <c r="I49"/>
  <c r="N48"/>
  <c r="I48"/>
  <c r="N47"/>
  <c r="I47"/>
  <c r="N46"/>
  <c r="I46"/>
  <c r="N45"/>
  <c r="I45"/>
  <c r="N44"/>
  <c r="N43"/>
  <c r="N42"/>
  <c r="I42"/>
  <c r="N41"/>
  <c r="I41"/>
  <c r="N40"/>
  <c r="I40"/>
  <c r="N39"/>
  <c r="H39"/>
  <c r="N38"/>
  <c r="N37"/>
  <c r="I37"/>
  <c r="K37" s="1"/>
  <c r="M36"/>
  <c r="I36"/>
  <c r="H36"/>
  <c r="I35"/>
  <c r="H35"/>
  <c r="N34"/>
  <c r="I34"/>
  <c r="H33"/>
  <c r="M32"/>
  <c r="N32" s="1"/>
  <c r="I32"/>
  <c r="N31"/>
  <c r="N30"/>
  <c r="I30"/>
  <c r="N29"/>
  <c r="I29"/>
  <c r="N28"/>
  <c r="I28"/>
  <c r="N27"/>
  <c r="I27"/>
  <c r="N26"/>
  <c r="I26"/>
  <c r="N25"/>
  <c r="I25"/>
  <c r="N24"/>
  <c r="N23"/>
  <c r="I23"/>
  <c r="N22"/>
  <c r="I22"/>
  <c r="I21"/>
  <c r="N20"/>
  <c r="I20"/>
  <c r="N19"/>
  <c r="I19"/>
  <c r="N18"/>
  <c r="I18"/>
  <c r="N17"/>
  <c r="I17"/>
  <c r="N16"/>
  <c r="J16"/>
  <c r="I16"/>
  <c r="N15"/>
  <c r="I15"/>
  <c r="N14"/>
  <c r="I14"/>
  <c r="N13"/>
  <c r="I13"/>
  <c r="L12"/>
  <c r="N12" s="1"/>
  <c r="I12"/>
  <c r="N11"/>
  <c r="I11"/>
  <c r="N10"/>
  <c r="I10"/>
  <c r="N9"/>
  <c r="I9"/>
  <c r="H9"/>
  <c r="N8"/>
  <c r="I8"/>
  <c r="N7"/>
  <c r="I7"/>
  <c r="H7"/>
  <c r="N6"/>
  <c r="N5"/>
  <c r="N4"/>
  <c r="K4"/>
  <c r="I4"/>
  <c r="N3"/>
  <c r="N2"/>
  <c r="K2"/>
  <c r="N83" i="78"/>
  <c r="N81"/>
  <c r="M51"/>
  <c r="N51" s="1"/>
  <c r="N37"/>
  <c r="K36" i="82" l="1"/>
  <c r="N115"/>
  <c r="N116" s="1"/>
  <c r="N118" i="83"/>
  <c r="N119" s="1"/>
  <c r="K35" i="82"/>
  <c r="K35" i="83"/>
  <c r="K36"/>
  <c r="N112" i="77"/>
  <c r="Q112" s="1"/>
  <c r="R112" s="1"/>
  <c r="N107"/>
  <c r="N100"/>
  <c r="N81"/>
  <c r="N80"/>
  <c r="M51"/>
  <c r="N51" s="1"/>
  <c r="N21" l="1"/>
  <c r="R100"/>
  <c r="R81"/>
  <c r="N121" i="78"/>
  <c r="I112"/>
  <c r="N113"/>
  <c r="N114"/>
  <c r="I114"/>
  <c r="I113"/>
  <c r="N75"/>
  <c r="N74"/>
  <c r="N120"/>
  <c r="N122" s="1"/>
  <c r="N82"/>
  <c r="M82"/>
  <c r="N112"/>
  <c r="N111"/>
  <c r="I111"/>
  <c r="N110"/>
  <c r="L110"/>
  <c r="I110"/>
  <c r="N109"/>
  <c r="L109"/>
  <c r="I109"/>
  <c r="N108"/>
  <c r="J107"/>
  <c r="I107"/>
  <c r="N106"/>
  <c r="I106"/>
  <c r="M105"/>
  <c r="N105" s="1"/>
  <c r="J105"/>
  <c r="I105"/>
  <c r="M104"/>
  <c r="N104" s="1"/>
  <c r="J104"/>
  <c r="I104"/>
  <c r="N103"/>
  <c r="I103"/>
  <c r="N102"/>
  <c r="I102"/>
  <c r="N101"/>
  <c r="I101"/>
  <c r="I100"/>
  <c r="N99"/>
  <c r="N98"/>
  <c r="L98"/>
  <c r="I98"/>
  <c r="N97"/>
  <c r="J97"/>
  <c r="I97"/>
  <c r="N96"/>
  <c r="I96"/>
  <c r="N95"/>
  <c r="I95"/>
  <c r="N94"/>
  <c r="I94"/>
  <c r="N93"/>
  <c r="N92"/>
  <c r="N91"/>
  <c r="I91"/>
  <c r="N90"/>
  <c r="I90"/>
  <c r="N89"/>
  <c r="I89"/>
  <c r="N88"/>
  <c r="N87"/>
  <c r="I87"/>
  <c r="N86"/>
  <c r="I86"/>
  <c r="N85"/>
  <c r="I85"/>
  <c r="N84"/>
  <c r="I84"/>
  <c r="I83"/>
  <c r="I81"/>
  <c r="N80"/>
  <c r="I80"/>
  <c r="N79"/>
  <c r="I79"/>
  <c r="N78"/>
  <c r="I78"/>
  <c r="N77"/>
  <c r="I77"/>
  <c r="N76"/>
  <c r="I76"/>
  <c r="I75"/>
  <c r="I74"/>
  <c r="N73"/>
  <c r="I73"/>
  <c r="N72"/>
  <c r="J72"/>
  <c r="I72"/>
  <c r="N71"/>
  <c r="J71"/>
  <c r="I71"/>
  <c r="N70"/>
  <c r="I70"/>
  <c r="N69"/>
  <c r="I69"/>
  <c r="N68"/>
  <c r="I68"/>
  <c r="N67"/>
  <c r="I67"/>
  <c r="N66"/>
  <c r="I66"/>
  <c r="N65"/>
  <c r="I65"/>
  <c r="N64"/>
  <c r="I64"/>
  <c r="N63"/>
  <c r="I63"/>
  <c r="N62"/>
  <c r="I62"/>
  <c r="M61"/>
  <c r="N61" s="1"/>
  <c r="I61"/>
  <c r="M60"/>
  <c r="N60" s="1"/>
  <c r="I60"/>
  <c r="N59"/>
  <c r="I59"/>
  <c r="N58"/>
  <c r="N57"/>
  <c r="I57"/>
  <c r="N56"/>
  <c r="I56"/>
  <c r="N55"/>
  <c r="I55"/>
  <c r="N54"/>
  <c r="M54"/>
  <c r="I54"/>
  <c r="N53"/>
  <c r="I53"/>
  <c r="M52"/>
  <c r="N52" s="1"/>
  <c r="I52"/>
  <c r="I51"/>
  <c r="N50"/>
  <c r="I50"/>
  <c r="N49"/>
  <c r="I49"/>
  <c r="N48"/>
  <c r="I48"/>
  <c r="N47"/>
  <c r="I47"/>
  <c r="N46"/>
  <c r="I46"/>
  <c r="N45"/>
  <c r="I45"/>
  <c r="N44"/>
  <c r="N43"/>
  <c r="N42"/>
  <c r="I42"/>
  <c r="N41"/>
  <c r="I41"/>
  <c r="N40"/>
  <c r="I40"/>
  <c r="N39"/>
  <c r="H39"/>
  <c r="N38"/>
  <c r="I37"/>
  <c r="K37" s="1"/>
  <c r="M36"/>
  <c r="I36"/>
  <c r="H36"/>
  <c r="I35"/>
  <c r="H35"/>
  <c r="N34"/>
  <c r="I34"/>
  <c r="H33"/>
  <c r="M32"/>
  <c r="N32" s="1"/>
  <c r="I32"/>
  <c r="N31"/>
  <c r="N30"/>
  <c r="I30"/>
  <c r="N29"/>
  <c r="I29"/>
  <c r="N28"/>
  <c r="I28"/>
  <c r="N27"/>
  <c r="I27"/>
  <c r="N26"/>
  <c r="I26"/>
  <c r="N25"/>
  <c r="I25"/>
  <c r="N24"/>
  <c r="N23"/>
  <c r="I23"/>
  <c r="N22"/>
  <c r="I22"/>
  <c r="I21"/>
  <c r="N20"/>
  <c r="I20"/>
  <c r="N19"/>
  <c r="I19"/>
  <c r="N18"/>
  <c r="I18"/>
  <c r="N17"/>
  <c r="I17"/>
  <c r="N16"/>
  <c r="J16"/>
  <c r="I16"/>
  <c r="N15"/>
  <c r="I15"/>
  <c r="N14"/>
  <c r="I14"/>
  <c r="N13"/>
  <c r="I13"/>
  <c r="L12"/>
  <c r="N12" s="1"/>
  <c r="I12"/>
  <c r="N11"/>
  <c r="I11"/>
  <c r="N10"/>
  <c r="I10"/>
  <c r="N9"/>
  <c r="I9"/>
  <c r="H9"/>
  <c r="N8"/>
  <c r="I8"/>
  <c r="N7"/>
  <c r="I7"/>
  <c r="H7"/>
  <c r="N6"/>
  <c r="N5"/>
  <c r="N4"/>
  <c r="K4"/>
  <c r="I4"/>
  <c r="N3"/>
  <c r="N2"/>
  <c r="K2"/>
  <c r="N111" i="77"/>
  <c r="I111"/>
  <c r="N110"/>
  <c r="L110"/>
  <c r="I110"/>
  <c r="N109"/>
  <c r="L109"/>
  <c r="I109"/>
  <c r="N108"/>
  <c r="R107"/>
  <c r="J107"/>
  <c r="I107"/>
  <c r="N106"/>
  <c r="I106"/>
  <c r="M105"/>
  <c r="N105" s="1"/>
  <c r="J105"/>
  <c r="I105"/>
  <c r="M104"/>
  <c r="N104" s="1"/>
  <c r="J104"/>
  <c r="I104"/>
  <c r="N103"/>
  <c r="I103"/>
  <c r="N102"/>
  <c r="I102"/>
  <c r="N101"/>
  <c r="I101"/>
  <c r="I100"/>
  <c r="N99"/>
  <c r="N98"/>
  <c r="L98"/>
  <c r="I98"/>
  <c r="N97"/>
  <c r="J97"/>
  <c r="I97"/>
  <c r="N96"/>
  <c r="I96"/>
  <c r="N95"/>
  <c r="I95"/>
  <c r="N94"/>
  <c r="I94"/>
  <c r="N93"/>
  <c r="N92"/>
  <c r="N91"/>
  <c r="I91"/>
  <c r="N90"/>
  <c r="I90"/>
  <c r="N89"/>
  <c r="I89"/>
  <c r="N88"/>
  <c r="N87"/>
  <c r="I87"/>
  <c r="N86"/>
  <c r="I86"/>
  <c r="N85"/>
  <c r="I85"/>
  <c r="N84"/>
  <c r="I84"/>
  <c r="N83"/>
  <c r="I83"/>
  <c r="N82"/>
  <c r="M82"/>
  <c r="I81"/>
  <c r="I80"/>
  <c r="N79"/>
  <c r="I79"/>
  <c r="N78"/>
  <c r="I78"/>
  <c r="N77"/>
  <c r="I77"/>
  <c r="N76"/>
  <c r="I76"/>
  <c r="N75"/>
  <c r="I75"/>
  <c r="N74"/>
  <c r="I74"/>
  <c r="N73"/>
  <c r="I73"/>
  <c r="N72"/>
  <c r="J72"/>
  <c r="I72"/>
  <c r="N71"/>
  <c r="J71"/>
  <c r="I71"/>
  <c r="N70"/>
  <c r="I70"/>
  <c r="N69"/>
  <c r="I69"/>
  <c r="N68"/>
  <c r="I68"/>
  <c r="N67"/>
  <c r="I67"/>
  <c r="N66"/>
  <c r="I66"/>
  <c r="N65"/>
  <c r="I65"/>
  <c r="N64"/>
  <c r="I64"/>
  <c r="N63"/>
  <c r="I63"/>
  <c r="N62"/>
  <c r="I62"/>
  <c r="M61"/>
  <c r="N61" s="1"/>
  <c r="I61"/>
  <c r="M60"/>
  <c r="N60" s="1"/>
  <c r="I60"/>
  <c r="N59"/>
  <c r="I59"/>
  <c r="N58"/>
  <c r="N57"/>
  <c r="I57"/>
  <c r="N56"/>
  <c r="I56"/>
  <c r="N55"/>
  <c r="I55"/>
  <c r="N54"/>
  <c r="M54"/>
  <c r="I54"/>
  <c r="N53"/>
  <c r="I53"/>
  <c r="M52"/>
  <c r="N52" s="1"/>
  <c r="I52"/>
  <c r="R51"/>
  <c r="I51"/>
  <c r="N50"/>
  <c r="I50"/>
  <c r="N49"/>
  <c r="I49"/>
  <c r="N48"/>
  <c r="I48"/>
  <c r="N47"/>
  <c r="I47"/>
  <c r="N46"/>
  <c r="I46"/>
  <c r="N45"/>
  <c r="I45"/>
  <c r="N44"/>
  <c r="N43"/>
  <c r="N42"/>
  <c r="I42"/>
  <c r="N41"/>
  <c r="I41"/>
  <c r="N40"/>
  <c r="I40"/>
  <c r="N39"/>
  <c r="H39"/>
  <c r="N38"/>
  <c r="N37"/>
  <c r="R37" s="1"/>
  <c r="I37"/>
  <c r="K37" s="1"/>
  <c r="M36"/>
  <c r="I36"/>
  <c r="H36"/>
  <c r="K36" s="1"/>
  <c r="I35"/>
  <c r="H35"/>
  <c r="N34"/>
  <c r="I34"/>
  <c r="N33"/>
  <c r="R33" s="1"/>
  <c r="H33"/>
  <c r="M32"/>
  <c r="N32" s="1"/>
  <c r="I32"/>
  <c r="N31"/>
  <c r="N30"/>
  <c r="I30"/>
  <c r="N29"/>
  <c r="I29"/>
  <c r="N28"/>
  <c r="I28"/>
  <c r="N27"/>
  <c r="I27"/>
  <c r="N26"/>
  <c r="I26"/>
  <c r="N25"/>
  <c r="I25"/>
  <c r="N24"/>
  <c r="N23"/>
  <c r="I23"/>
  <c r="N22"/>
  <c r="I22"/>
  <c r="I21"/>
  <c r="N20"/>
  <c r="I20"/>
  <c r="N19"/>
  <c r="I19"/>
  <c r="N18"/>
  <c r="I18"/>
  <c r="N17"/>
  <c r="I17"/>
  <c r="N16"/>
  <c r="J16"/>
  <c r="I16"/>
  <c r="N15"/>
  <c r="I15"/>
  <c r="N14"/>
  <c r="I14"/>
  <c r="N13"/>
  <c r="I13"/>
  <c r="L12"/>
  <c r="N12" s="1"/>
  <c r="I12"/>
  <c r="N11"/>
  <c r="I11"/>
  <c r="N10"/>
  <c r="I10"/>
  <c r="N9"/>
  <c r="I9"/>
  <c r="H9"/>
  <c r="N8"/>
  <c r="I8"/>
  <c r="N7"/>
  <c r="I7"/>
  <c r="H7"/>
  <c r="N6"/>
  <c r="N5"/>
  <c r="N4"/>
  <c r="K4"/>
  <c r="I4"/>
  <c r="N3"/>
  <c r="N2"/>
  <c r="K2"/>
  <c r="I112" i="76"/>
  <c r="I111"/>
  <c r="I110"/>
  <c r="I112" i="75"/>
  <c r="I111"/>
  <c r="I110"/>
  <c r="N112"/>
  <c r="L111"/>
  <c r="N111" s="1"/>
  <c r="L110"/>
  <c r="N110" s="1"/>
  <c r="N94" i="74"/>
  <c r="N87"/>
  <c r="N23"/>
  <c r="N73"/>
  <c r="N71"/>
  <c r="N70"/>
  <c r="N26"/>
  <c r="N61"/>
  <c r="L93"/>
  <c r="N109" i="75"/>
  <c r="N108"/>
  <c r="N113" i="77" l="1"/>
  <c r="N114" s="1"/>
  <c r="N115" i="78"/>
  <c r="N116" s="1"/>
  <c r="Q113" i="77"/>
  <c r="R21"/>
  <c r="R113" s="1"/>
  <c r="K36" i="78"/>
  <c r="K35"/>
  <c r="K35" i="77"/>
  <c r="N50" i="74"/>
  <c r="N28"/>
  <c r="N63"/>
  <c r="N84"/>
  <c r="N42"/>
  <c r="N41"/>
  <c r="N22"/>
  <c r="N77"/>
  <c r="N53"/>
  <c r="N13"/>
  <c r="N76"/>
  <c r="N60"/>
  <c r="N213" l="1"/>
  <c r="O213" s="1"/>
  <c r="N112" i="76"/>
  <c r="N110"/>
  <c r="N111"/>
  <c r="L111"/>
  <c r="L110"/>
  <c r="N109"/>
  <c r="N108"/>
  <c r="J108"/>
  <c r="I108"/>
  <c r="N107"/>
  <c r="I107"/>
  <c r="M106"/>
  <c r="N106" s="1"/>
  <c r="J106"/>
  <c r="I106"/>
  <c r="M105"/>
  <c r="N105" s="1"/>
  <c r="J105"/>
  <c r="I105"/>
  <c r="N104"/>
  <c r="I104"/>
  <c r="N103"/>
  <c r="I103"/>
  <c r="N102"/>
  <c r="I102"/>
  <c r="N101"/>
  <c r="I101"/>
  <c r="N100"/>
  <c r="N99"/>
  <c r="L99"/>
  <c r="I99"/>
  <c r="N98"/>
  <c r="J98"/>
  <c r="I98"/>
  <c r="N97"/>
  <c r="I97"/>
  <c r="N96"/>
  <c r="I96"/>
  <c r="N95"/>
  <c r="I95"/>
  <c r="N94"/>
  <c r="N93"/>
  <c r="N92"/>
  <c r="I92"/>
  <c r="N91"/>
  <c r="I91"/>
  <c r="N90"/>
  <c r="I90"/>
  <c r="N89"/>
  <c r="N88"/>
  <c r="I88"/>
  <c r="N87"/>
  <c r="I87"/>
  <c r="N86"/>
  <c r="I86"/>
  <c r="N85"/>
  <c r="I85"/>
  <c r="N84"/>
  <c r="I84"/>
  <c r="N83"/>
  <c r="M83"/>
  <c r="N82"/>
  <c r="I82"/>
  <c r="N81"/>
  <c r="I81"/>
  <c r="N80"/>
  <c r="I80"/>
  <c r="N79"/>
  <c r="I79"/>
  <c r="N78"/>
  <c r="I78"/>
  <c r="N77"/>
  <c r="I77"/>
  <c r="N76"/>
  <c r="I76"/>
  <c r="N75"/>
  <c r="I75"/>
  <c r="N74"/>
  <c r="I74"/>
  <c r="N73"/>
  <c r="J73"/>
  <c r="I73"/>
  <c r="N72"/>
  <c r="J72"/>
  <c r="I72"/>
  <c r="N71"/>
  <c r="I71"/>
  <c r="N70"/>
  <c r="I70"/>
  <c r="N69"/>
  <c r="I69"/>
  <c r="N68"/>
  <c r="I68"/>
  <c r="N67"/>
  <c r="I67"/>
  <c r="N66"/>
  <c r="I66"/>
  <c r="N65"/>
  <c r="I65"/>
  <c r="N64"/>
  <c r="I64"/>
  <c r="N63"/>
  <c r="I63"/>
  <c r="M62"/>
  <c r="N62" s="1"/>
  <c r="I62"/>
  <c r="M61"/>
  <c r="N61" s="1"/>
  <c r="I61"/>
  <c r="N60"/>
  <c r="I60"/>
  <c r="N59"/>
  <c r="N58"/>
  <c r="I58"/>
  <c r="N57"/>
  <c r="I57"/>
  <c r="N56"/>
  <c r="I56"/>
  <c r="N55"/>
  <c r="M55"/>
  <c r="I55"/>
  <c r="N54"/>
  <c r="I54"/>
  <c r="M53"/>
  <c r="N53" s="1"/>
  <c r="I53"/>
  <c r="M52"/>
  <c r="N52" s="1"/>
  <c r="I52"/>
  <c r="N51"/>
  <c r="I51"/>
  <c r="N50"/>
  <c r="I50"/>
  <c r="N49"/>
  <c r="I49"/>
  <c r="N48"/>
  <c r="I48"/>
  <c r="N47"/>
  <c r="I47"/>
  <c r="N46"/>
  <c r="I46"/>
  <c r="N45"/>
  <c r="N44"/>
  <c r="N43"/>
  <c r="I43"/>
  <c r="N42"/>
  <c r="I42"/>
  <c r="N41"/>
  <c r="I41"/>
  <c r="N40"/>
  <c r="H40"/>
  <c r="N39"/>
  <c r="N38"/>
  <c r="I38"/>
  <c r="K38" s="1"/>
  <c r="M37"/>
  <c r="I37"/>
  <c r="H37"/>
  <c r="I36"/>
  <c r="H36"/>
  <c r="M35"/>
  <c r="N35" s="1"/>
  <c r="I35"/>
  <c r="H35"/>
  <c r="N34"/>
  <c r="I34"/>
  <c r="M33"/>
  <c r="N33" s="1"/>
  <c r="H33"/>
  <c r="M32"/>
  <c r="N32" s="1"/>
  <c r="I32"/>
  <c r="N31"/>
  <c r="N30"/>
  <c r="I30"/>
  <c r="N29"/>
  <c r="I29"/>
  <c r="N28"/>
  <c r="I28"/>
  <c r="N27"/>
  <c r="I27"/>
  <c r="N26"/>
  <c r="I26"/>
  <c r="N25"/>
  <c r="I25"/>
  <c r="N24"/>
  <c r="N23"/>
  <c r="I23"/>
  <c r="N22"/>
  <c r="I22"/>
  <c r="L21"/>
  <c r="N21" s="1"/>
  <c r="I21"/>
  <c r="N20"/>
  <c r="I20"/>
  <c r="N19"/>
  <c r="I19"/>
  <c r="N18"/>
  <c r="I18"/>
  <c r="N17"/>
  <c r="I17"/>
  <c r="N16"/>
  <c r="J16"/>
  <c r="I16"/>
  <c r="N15"/>
  <c r="I15"/>
  <c r="N14"/>
  <c r="I14"/>
  <c r="N13"/>
  <c r="I13"/>
  <c r="L12"/>
  <c r="N12" s="1"/>
  <c r="I12"/>
  <c r="N11"/>
  <c r="I11"/>
  <c r="N10"/>
  <c r="I10"/>
  <c r="N9"/>
  <c r="I9"/>
  <c r="H9"/>
  <c r="N8"/>
  <c r="I8"/>
  <c r="N7"/>
  <c r="I7"/>
  <c r="H7"/>
  <c r="N6"/>
  <c r="N5"/>
  <c r="N4"/>
  <c r="K4"/>
  <c r="I4"/>
  <c r="N3"/>
  <c r="N2"/>
  <c r="K2"/>
  <c r="J108" i="75"/>
  <c r="I108"/>
  <c r="N107"/>
  <c r="I107"/>
  <c r="M106"/>
  <c r="N106" s="1"/>
  <c r="J106"/>
  <c r="I106"/>
  <c r="M105"/>
  <c r="N105" s="1"/>
  <c r="J105"/>
  <c r="I105"/>
  <c r="N104"/>
  <c r="I104"/>
  <c r="N103"/>
  <c r="I103"/>
  <c r="N102"/>
  <c r="I102"/>
  <c r="N101"/>
  <c r="I101"/>
  <c r="N100"/>
  <c r="N99"/>
  <c r="L99"/>
  <c r="I99"/>
  <c r="N98"/>
  <c r="J98"/>
  <c r="I98"/>
  <c r="N97"/>
  <c r="I97"/>
  <c r="N96"/>
  <c r="I96"/>
  <c r="N95"/>
  <c r="I95"/>
  <c r="N94"/>
  <c r="N93"/>
  <c r="N92"/>
  <c r="I92"/>
  <c r="N91"/>
  <c r="I91"/>
  <c r="N90"/>
  <c r="I90"/>
  <c r="N89"/>
  <c r="N88"/>
  <c r="I88"/>
  <c r="N87"/>
  <c r="I87"/>
  <c r="N86"/>
  <c r="I86"/>
  <c r="N85"/>
  <c r="I85"/>
  <c r="N84"/>
  <c r="I84"/>
  <c r="N83"/>
  <c r="M83"/>
  <c r="N82"/>
  <c r="I82"/>
  <c r="N81"/>
  <c r="I81"/>
  <c r="N80"/>
  <c r="I80"/>
  <c r="N79"/>
  <c r="I79"/>
  <c r="N78"/>
  <c r="I78"/>
  <c r="N77"/>
  <c r="I77"/>
  <c r="N76"/>
  <c r="I76"/>
  <c r="N75"/>
  <c r="I75"/>
  <c r="N74"/>
  <c r="I74"/>
  <c r="N73"/>
  <c r="J73"/>
  <c r="I73"/>
  <c r="N72"/>
  <c r="J72"/>
  <c r="I72"/>
  <c r="N71"/>
  <c r="I71"/>
  <c r="N70"/>
  <c r="I70"/>
  <c r="N69"/>
  <c r="I69"/>
  <c r="N68"/>
  <c r="I68"/>
  <c r="N67"/>
  <c r="I67"/>
  <c r="N66"/>
  <c r="I66"/>
  <c r="N65"/>
  <c r="I65"/>
  <c r="N64"/>
  <c r="I64"/>
  <c r="N63"/>
  <c r="I63"/>
  <c r="M62"/>
  <c r="N62" s="1"/>
  <c r="I62"/>
  <c r="M61"/>
  <c r="N61" s="1"/>
  <c r="I61"/>
  <c r="N60"/>
  <c r="I60"/>
  <c r="N59"/>
  <c r="N58"/>
  <c r="I58"/>
  <c r="N57"/>
  <c r="I57"/>
  <c r="N56"/>
  <c r="I56"/>
  <c r="N55"/>
  <c r="M55"/>
  <c r="I55"/>
  <c r="N54"/>
  <c r="I54"/>
  <c r="M53"/>
  <c r="N53" s="1"/>
  <c r="I53"/>
  <c r="M52"/>
  <c r="N52" s="1"/>
  <c r="I52"/>
  <c r="N51"/>
  <c r="I51"/>
  <c r="N50"/>
  <c r="I50"/>
  <c r="N49"/>
  <c r="I49"/>
  <c r="N48"/>
  <c r="I48"/>
  <c r="N47"/>
  <c r="I47"/>
  <c r="N46"/>
  <c r="I46"/>
  <c r="N45"/>
  <c r="N44"/>
  <c r="N43"/>
  <c r="I43"/>
  <c r="N42"/>
  <c r="I42"/>
  <c r="N41"/>
  <c r="I41"/>
  <c r="N40"/>
  <c r="H40"/>
  <c r="N39"/>
  <c r="N38"/>
  <c r="I38"/>
  <c r="K38" s="1"/>
  <c r="M37"/>
  <c r="I37"/>
  <c r="H37"/>
  <c r="I36"/>
  <c r="H36"/>
  <c r="M35"/>
  <c r="N35" s="1"/>
  <c r="I35"/>
  <c r="H35"/>
  <c r="N34"/>
  <c r="I34"/>
  <c r="M33"/>
  <c r="N33" s="1"/>
  <c r="H33"/>
  <c r="M32"/>
  <c r="N32" s="1"/>
  <c r="I32"/>
  <c r="N31"/>
  <c r="N30"/>
  <c r="I30"/>
  <c r="N29"/>
  <c r="I29"/>
  <c r="N28"/>
  <c r="I28"/>
  <c r="N27"/>
  <c r="I27"/>
  <c r="N26"/>
  <c r="I26"/>
  <c r="N25"/>
  <c r="I25"/>
  <c r="N24"/>
  <c r="N23"/>
  <c r="I23"/>
  <c r="N22"/>
  <c r="I22"/>
  <c r="L21"/>
  <c r="N21" s="1"/>
  <c r="I21"/>
  <c r="N20"/>
  <c r="I20"/>
  <c r="N19"/>
  <c r="I19"/>
  <c r="N18"/>
  <c r="I18"/>
  <c r="N17"/>
  <c r="I17"/>
  <c r="N16"/>
  <c r="J16"/>
  <c r="I16"/>
  <c r="N15"/>
  <c r="I15"/>
  <c r="N14"/>
  <c r="I14"/>
  <c r="N13"/>
  <c r="I13"/>
  <c r="L12"/>
  <c r="N12" s="1"/>
  <c r="I12"/>
  <c r="N11"/>
  <c r="I11"/>
  <c r="N10"/>
  <c r="I10"/>
  <c r="N9"/>
  <c r="I9"/>
  <c r="H9"/>
  <c r="N8"/>
  <c r="I8"/>
  <c r="N7"/>
  <c r="I7"/>
  <c r="H7"/>
  <c r="N6"/>
  <c r="N5"/>
  <c r="N4"/>
  <c r="K4"/>
  <c r="I4"/>
  <c r="N3"/>
  <c r="N2"/>
  <c r="K2"/>
  <c r="N192" i="73"/>
  <c r="N199" i="74"/>
  <c r="N201" i="73"/>
  <c r="N172"/>
  <c r="N173"/>
  <c r="N143" i="72"/>
  <c r="N113" i="75" l="1"/>
  <c r="N114" s="1"/>
  <c r="K37"/>
  <c r="N113" i="76"/>
  <c r="N114" s="1"/>
  <c r="K37"/>
  <c r="K36"/>
  <c r="K36" i="75"/>
  <c r="N131" i="71"/>
  <c r="N125"/>
  <c r="N118"/>
  <c r="N117"/>
  <c r="J93" i="74" l="1"/>
  <c r="M93"/>
  <c r="J34"/>
  <c r="M34"/>
  <c r="N34" s="1"/>
  <c r="J79"/>
  <c r="M79"/>
  <c r="N79" s="1"/>
  <c r="J65"/>
  <c r="M65"/>
  <c r="N65" s="1"/>
  <c r="J52"/>
  <c r="M52"/>
  <c r="N52" s="1"/>
  <c r="J80"/>
  <c r="L80"/>
  <c r="M80"/>
  <c r="J54"/>
  <c r="L54"/>
  <c r="M54"/>
  <c r="J88"/>
  <c r="M88"/>
  <c r="N88" s="1"/>
  <c r="J2"/>
  <c r="L2"/>
  <c r="M2"/>
  <c r="M55"/>
  <c r="N55" s="1"/>
  <c r="J85"/>
  <c r="M85"/>
  <c r="N85" s="1"/>
  <c r="J42"/>
  <c r="J84"/>
  <c r="J83"/>
  <c r="M83"/>
  <c r="N83" s="1"/>
  <c r="M78"/>
  <c r="N78" s="1"/>
  <c r="J62"/>
  <c r="M62"/>
  <c r="N62" s="1"/>
  <c r="J91"/>
  <c r="M91"/>
  <c r="N91" s="1"/>
  <c r="J30"/>
  <c r="L30"/>
  <c r="M30"/>
  <c r="J16"/>
  <c r="M16"/>
  <c r="N16" s="1"/>
  <c r="J50"/>
  <c r="L18"/>
  <c r="M18"/>
  <c r="N207"/>
  <c r="N208"/>
  <c r="N209"/>
  <c r="J209"/>
  <c r="I209"/>
  <c r="M44"/>
  <c r="N44" s="1"/>
  <c r="J44"/>
  <c r="M21"/>
  <c r="L21"/>
  <c r="J21"/>
  <c r="M49"/>
  <c r="L49"/>
  <c r="J49"/>
  <c r="M19"/>
  <c r="L19"/>
  <c r="J19"/>
  <c r="M17"/>
  <c r="L17"/>
  <c r="J17"/>
  <c r="M7"/>
  <c r="L7"/>
  <c r="J7"/>
  <c r="M5"/>
  <c r="N5" s="1"/>
  <c r="J5"/>
  <c r="M74"/>
  <c r="N74" s="1"/>
  <c r="J74"/>
  <c r="M89"/>
  <c r="N89" s="1"/>
  <c r="J89"/>
  <c r="M6"/>
  <c r="N6" s="1"/>
  <c r="M10"/>
  <c r="L10"/>
  <c r="J10"/>
  <c r="M39"/>
  <c r="N39" s="1"/>
  <c r="J39"/>
  <c r="N67"/>
  <c r="J67"/>
  <c r="M64"/>
  <c r="L64"/>
  <c r="J64"/>
  <c r="N37"/>
  <c r="J37"/>
  <c r="L38"/>
  <c r="N38" s="1"/>
  <c r="J38"/>
  <c r="N25"/>
  <c r="J25"/>
  <c r="M36"/>
  <c r="N36" s="1"/>
  <c r="J36"/>
  <c r="M92"/>
  <c r="N92" s="1"/>
  <c r="J92"/>
  <c r="M68"/>
  <c r="N68" s="1"/>
  <c r="J68"/>
  <c r="M59"/>
  <c r="N59" s="1"/>
  <c r="N206"/>
  <c r="I206"/>
  <c r="M205"/>
  <c r="N205" s="1"/>
  <c r="J205"/>
  <c r="I205"/>
  <c r="M4"/>
  <c r="L4"/>
  <c r="J4"/>
  <c r="N72"/>
  <c r="N15"/>
  <c r="M3"/>
  <c r="N3" s="1"/>
  <c r="J3"/>
  <c r="M100"/>
  <c r="N100" s="1"/>
  <c r="J100"/>
  <c r="M9"/>
  <c r="L9"/>
  <c r="J9"/>
  <c r="M51"/>
  <c r="L51"/>
  <c r="J51"/>
  <c r="M69"/>
  <c r="N69" s="1"/>
  <c r="J69"/>
  <c r="M90"/>
  <c r="N90" s="1"/>
  <c r="J90"/>
  <c r="M56"/>
  <c r="L56"/>
  <c r="J56"/>
  <c r="N31"/>
  <c r="N95"/>
  <c r="M40"/>
  <c r="L40"/>
  <c r="J40"/>
  <c r="M75"/>
  <c r="N75" s="1"/>
  <c r="J75"/>
  <c r="M204"/>
  <c r="N204" s="1"/>
  <c r="J204"/>
  <c r="I204"/>
  <c r="N45"/>
  <c r="J45"/>
  <c r="M33"/>
  <c r="L33"/>
  <c r="M24"/>
  <c r="N24" s="1"/>
  <c r="J24"/>
  <c r="M8"/>
  <c r="N8" s="1"/>
  <c r="J8"/>
  <c r="M32"/>
  <c r="L32"/>
  <c r="J32"/>
  <c r="M97"/>
  <c r="L97"/>
  <c r="J97"/>
  <c r="M96"/>
  <c r="L96"/>
  <c r="J96"/>
  <c r="M58"/>
  <c r="N58" s="1"/>
  <c r="J58"/>
  <c r="M81"/>
  <c r="N81" s="1"/>
  <c r="M12"/>
  <c r="L12"/>
  <c r="J12"/>
  <c r="M20"/>
  <c r="L20"/>
  <c r="J20"/>
  <c r="N202"/>
  <c r="I202"/>
  <c r="N203"/>
  <c r="I203"/>
  <c r="N200"/>
  <c r="I200"/>
  <c r="I199"/>
  <c r="N201"/>
  <c r="N198"/>
  <c r="L198"/>
  <c r="I198"/>
  <c r="N196"/>
  <c r="J196"/>
  <c r="I196"/>
  <c r="N195"/>
  <c r="I195"/>
  <c r="N197"/>
  <c r="I197"/>
  <c r="N194"/>
  <c r="I194"/>
  <c r="N188"/>
  <c r="N187"/>
  <c r="N193"/>
  <c r="I193"/>
  <c r="N190"/>
  <c r="I190"/>
  <c r="N189"/>
  <c r="I189"/>
  <c r="N186"/>
  <c r="N192"/>
  <c r="I192"/>
  <c r="N191"/>
  <c r="I191"/>
  <c r="N184"/>
  <c r="I184"/>
  <c r="N183"/>
  <c r="I183"/>
  <c r="N185"/>
  <c r="I185"/>
  <c r="N182"/>
  <c r="M182"/>
  <c r="N181"/>
  <c r="I181"/>
  <c r="N180"/>
  <c r="I180"/>
  <c r="N179"/>
  <c r="I179"/>
  <c r="N178"/>
  <c r="I178"/>
  <c r="N177"/>
  <c r="I177"/>
  <c r="N176"/>
  <c r="I176"/>
  <c r="N175"/>
  <c r="I175"/>
  <c r="N174"/>
  <c r="I174"/>
  <c r="N173"/>
  <c r="I173"/>
  <c r="N172"/>
  <c r="J172"/>
  <c r="I172"/>
  <c r="N171"/>
  <c r="J171"/>
  <c r="I171"/>
  <c r="N170"/>
  <c r="I170"/>
  <c r="N169"/>
  <c r="I169"/>
  <c r="N168"/>
  <c r="I168"/>
  <c r="N167"/>
  <c r="I167"/>
  <c r="N166"/>
  <c r="I166"/>
  <c r="N165"/>
  <c r="I165"/>
  <c r="N164"/>
  <c r="I164"/>
  <c r="N163"/>
  <c r="I163"/>
  <c r="N162"/>
  <c r="I162"/>
  <c r="M161"/>
  <c r="N161" s="1"/>
  <c r="I161"/>
  <c r="M160"/>
  <c r="N160" s="1"/>
  <c r="I160"/>
  <c r="N159"/>
  <c r="I159"/>
  <c r="N158"/>
  <c r="N157"/>
  <c r="I157"/>
  <c r="N156"/>
  <c r="I156"/>
  <c r="N155"/>
  <c r="I155"/>
  <c r="N154"/>
  <c r="M154"/>
  <c r="I154"/>
  <c r="N153"/>
  <c r="I153"/>
  <c r="M152"/>
  <c r="N152" s="1"/>
  <c r="I152"/>
  <c r="M151"/>
  <c r="N151" s="1"/>
  <c r="I151"/>
  <c r="N150"/>
  <c r="I150"/>
  <c r="N149"/>
  <c r="I149"/>
  <c r="N148"/>
  <c r="I148"/>
  <c r="N147"/>
  <c r="I147"/>
  <c r="N146"/>
  <c r="I146"/>
  <c r="N145"/>
  <c r="I145"/>
  <c r="N144"/>
  <c r="N143"/>
  <c r="N142"/>
  <c r="I142"/>
  <c r="N141"/>
  <c r="I141"/>
  <c r="N140"/>
  <c r="I140"/>
  <c r="N139"/>
  <c r="H139"/>
  <c r="N138"/>
  <c r="N135"/>
  <c r="I135"/>
  <c r="K135" s="1"/>
  <c r="M137"/>
  <c r="I137"/>
  <c r="H137"/>
  <c r="I136"/>
  <c r="H136"/>
  <c r="M134"/>
  <c r="N134" s="1"/>
  <c r="I134"/>
  <c r="H134"/>
  <c r="N133"/>
  <c r="I133"/>
  <c r="M132"/>
  <c r="N132" s="1"/>
  <c r="H132"/>
  <c r="M131"/>
  <c r="N131" s="1"/>
  <c r="I131"/>
  <c r="N130"/>
  <c r="N129"/>
  <c r="I129"/>
  <c r="N128"/>
  <c r="I128"/>
  <c r="N127"/>
  <c r="I127"/>
  <c r="N126"/>
  <c r="I126"/>
  <c r="N125"/>
  <c r="I125"/>
  <c r="N124"/>
  <c r="I124"/>
  <c r="N123"/>
  <c r="N122"/>
  <c r="I122"/>
  <c r="N121"/>
  <c r="I121"/>
  <c r="L120"/>
  <c r="N120" s="1"/>
  <c r="I120"/>
  <c r="N119"/>
  <c r="I119"/>
  <c r="N118"/>
  <c r="I118"/>
  <c r="N117"/>
  <c r="I117"/>
  <c r="N116"/>
  <c r="I116"/>
  <c r="N115"/>
  <c r="J115"/>
  <c r="I115"/>
  <c r="N114"/>
  <c r="I114"/>
  <c r="N113"/>
  <c r="I113"/>
  <c r="N112"/>
  <c r="I112"/>
  <c r="L111"/>
  <c r="N111" s="1"/>
  <c r="I111"/>
  <c r="N110"/>
  <c r="I110"/>
  <c r="N109"/>
  <c r="I109"/>
  <c r="N108"/>
  <c r="I108"/>
  <c r="H108"/>
  <c r="N106"/>
  <c r="I106"/>
  <c r="N107"/>
  <c r="I107"/>
  <c r="H107"/>
  <c r="N105"/>
  <c r="N104"/>
  <c r="N103"/>
  <c r="K103"/>
  <c r="I103"/>
  <c r="N102"/>
  <c r="N101"/>
  <c r="K101"/>
  <c r="M99"/>
  <c r="L99"/>
  <c r="H99"/>
  <c r="N57"/>
  <c r="H57"/>
  <c r="N27"/>
  <c r="H27"/>
  <c r="M48"/>
  <c r="N48" s="1"/>
  <c r="H48"/>
  <c r="M46"/>
  <c r="L46"/>
  <c r="H46"/>
  <c r="M29"/>
  <c r="N29" s="1"/>
  <c r="H29"/>
  <c r="N11"/>
  <c r="H11"/>
  <c r="N82"/>
  <c r="H82"/>
  <c r="M86"/>
  <c r="L86"/>
  <c r="H86"/>
  <c r="M66"/>
  <c r="L66"/>
  <c r="H66"/>
  <c r="M14"/>
  <c r="N14" s="1"/>
  <c r="H14"/>
  <c r="M43"/>
  <c r="N43" s="1"/>
  <c r="H43"/>
  <c r="M47"/>
  <c r="N47" s="1"/>
  <c r="H47"/>
  <c r="N98"/>
  <c r="M35"/>
  <c r="L35"/>
  <c r="H35"/>
  <c r="M18" i="73"/>
  <c r="L18"/>
  <c r="N18" s="1"/>
  <c r="N48"/>
  <c r="J48"/>
  <c r="M16"/>
  <c r="N16" s="1"/>
  <c r="J16"/>
  <c r="M28"/>
  <c r="L28"/>
  <c r="J28"/>
  <c r="N26"/>
  <c r="M84"/>
  <c r="N84" s="1"/>
  <c r="J84"/>
  <c r="N60"/>
  <c r="M59"/>
  <c r="N59" s="1"/>
  <c r="J59"/>
  <c r="N28" l="1"/>
  <c r="N30" i="74"/>
  <c r="N54"/>
  <c r="N93"/>
  <c r="N18"/>
  <c r="N2"/>
  <c r="N80"/>
  <c r="N97"/>
  <c r="N12"/>
  <c r="K137"/>
  <c r="N9"/>
  <c r="N49"/>
  <c r="N35"/>
  <c r="N33"/>
  <c r="N86"/>
  <c r="N99"/>
  <c r="N10"/>
  <c r="N19"/>
  <c r="N66"/>
  <c r="N46"/>
  <c r="N20"/>
  <c r="N32"/>
  <c r="N40"/>
  <c r="N51"/>
  <c r="N4"/>
  <c r="N96"/>
  <c r="N56"/>
  <c r="N17"/>
  <c r="K136"/>
  <c r="N64"/>
  <c r="N7"/>
  <c r="N21"/>
  <c r="M72" i="73"/>
  <c r="N72" s="1"/>
  <c r="M78"/>
  <c r="N78" s="1"/>
  <c r="J78"/>
  <c r="N77"/>
  <c r="J77"/>
  <c r="N40"/>
  <c r="N39"/>
  <c r="J40"/>
  <c r="N22"/>
  <c r="M79"/>
  <c r="N79" s="1"/>
  <c r="J79"/>
  <c r="M53"/>
  <c r="N53" s="1"/>
  <c r="N71"/>
  <c r="N210" i="74" l="1"/>
  <c r="N211" s="1"/>
  <c r="N200" i="73"/>
  <c r="M2" l="1"/>
  <c r="M81"/>
  <c r="N81" s="1"/>
  <c r="L2"/>
  <c r="J2"/>
  <c r="J81"/>
  <c r="N52"/>
  <c r="J51"/>
  <c r="M51"/>
  <c r="L51"/>
  <c r="M74"/>
  <c r="L74"/>
  <c r="J74"/>
  <c r="M50"/>
  <c r="N50" s="1"/>
  <c r="J50"/>
  <c r="M62"/>
  <c r="N62" s="1"/>
  <c r="J62"/>
  <c r="M73"/>
  <c r="N73" s="1"/>
  <c r="J73"/>
  <c r="N199"/>
  <c r="I199"/>
  <c r="J199"/>
  <c r="M32"/>
  <c r="N32" s="1"/>
  <c r="J32"/>
  <c r="L86"/>
  <c r="M86"/>
  <c r="J86"/>
  <c r="N14"/>
  <c r="N70"/>
  <c r="N58"/>
  <c r="M167" i="72"/>
  <c r="M206" i="73"/>
  <c r="N24"/>
  <c r="N36"/>
  <c r="N64"/>
  <c r="N198"/>
  <c r="N15"/>
  <c r="N67"/>
  <c r="M42"/>
  <c r="N42" s="1"/>
  <c r="J42"/>
  <c r="M21"/>
  <c r="L21"/>
  <c r="J21"/>
  <c r="M47"/>
  <c r="L47"/>
  <c r="J47"/>
  <c r="M19"/>
  <c r="L19"/>
  <c r="J19"/>
  <c r="M17"/>
  <c r="L17"/>
  <c r="J17"/>
  <c r="M7"/>
  <c r="L7"/>
  <c r="J7"/>
  <c r="M5"/>
  <c r="N5" s="1"/>
  <c r="J5"/>
  <c r="M68"/>
  <c r="N68" s="1"/>
  <c r="J68"/>
  <c r="M82"/>
  <c r="N82" s="1"/>
  <c r="J82"/>
  <c r="M6"/>
  <c r="N6" s="1"/>
  <c r="M10"/>
  <c r="L10"/>
  <c r="J10"/>
  <c r="M37"/>
  <c r="N37" s="1"/>
  <c r="J37"/>
  <c r="J64"/>
  <c r="M61"/>
  <c r="L61"/>
  <c r="J61"/>
  <c r="J36"/>
  <c r="L35"/>
  <c r="N35" s="1"/>
  <c r="J35"/>
  <c r="J24"/>
  <c r="M34"/>
  <c r="N34" s="1"/>
  <c r="J34"/>
  <c r="M85"/>
  <c r="N85" s="1"/>
  <c r="J85"/>
  <c r="M65"/>
  <c r="N65" s="1"/>
  <c r="J65"/>
  <c r="M57"/>
  <c r="N57" s="1"/>
  <c r="I198"/>
  <c r="M197"/>
  <c r="N197" s="1"/>
  <c r="J197"/>
  <c r="I197"/>
  <c r="M4"/>
  <c r="L4"/>
  <c r="J4"/>
  <c r="M3"/>
  <c r="N3" s="1"/>
  <c r="J3"/>
  <c r="M92"/>
  <c r="N92" s="1"/>
  <c r="J92"/>
  <c r="M9"/>
  <c r="L9"/>
  <c r="J9"/>
  <c r="M49"/>
  <c r="L49"/>
  <c r="J49"/>
  <c r="M66"/>
  <c r="N66" s="1"/>
  <c r="J66"/>
  <c r="M83"/>
  <c r="N83" s="1"/>
  <c r="J83"/>
  <c r="M54"/>
  <c r="L54"/>
  <c r="J54"/>
  <c r="N29"/>
  <c r="N87"/>
  <c r="M38"/>
  <c r="L38"/>
  <c r="J38"/>
  <c r="M69"/>
  <c r="N69" s="1"/>
  <c r="J69"/>
  <c r="M196"/>
  <c r="N196" s="1"/>
  <c r="J196"/>
  <c r="I196"/>
  <c r="N43"/>
  <c r="J43"/>
  <c r="M31"/>
  <c r="L31"/>
  <c r="M23"/>
  <c r="N23" s="1"/>
  <c r="J23"/>
  <c r="M8"/>
  <c r="N8" s="1"/>
  <c r="J8"/>
  <c r="M30"/>
  <c r="L30"/>
  <c r="J30"/>
  <c r="M89"/>
  <c r="L89"/>
  <c r="J89"/>
  <c r="M88"/>
  <c r="L88"/>
  <c r="J88"/>
  <c r="M56"/>
  <c r="N56" s="1"/>
  <c r="J56"/>
  <c r="M75"/>
  <c r="N75" s="1"/>
  <c r="M13"/>
  <c r="L13"/>
  <c r="J13"/>
  <c r="M20"/>
  <c r="L20"/>
  <c r="J20"/>
  <c r="N195"/>
  <c r="I195"/>
  <c r="N194"/>
  <c r="I194"/>
  <c r="N193"/>
  <c r="I193"/>
  <c r="I192"/>
  <c r="N191"/>
  <c r="N190"/>
  <c r="L190"/>
  <c r="I190"/>
  <c r="N189"/>
  <c r="J189"/>
  <c r="I189"/>
  <c r="N188"/>
  <c r="I188"/>
  <c r="N187"/>
  <c r="I187"/>
  <c r="N186"/>
  <c r="I186"/>
  <c r="N185"/>
  <c r="N184"/>
  <c r="N183"/>
  <c r="I183"/>
  <c r="N182"/>
  <c r="I182"/>
  <c r="N181"/>
  <c r="I181"/>
  <c r="N180"/>
  <c r="N179"/>
  <c r="I179"/>
  <c r="N178"/>
  <c r="I178"/>
  <c r="N177"/>
  <c r="I177"/>
  <c r="N176"/>
  <c r="I176"/>
  <c r="N175"/>
  <c r="I175"/>
  <c r="N174"/>
  <c r="M174"/>
  <c r="I173"/>
  <c r="I172"/>
  <c r="N171"/>
  <c r="I171"/>
  <c r="N170"/>
  <c r="I170"/>
  <c r="N169"/>
  <c r="I169"/>
  <c r="N168"/>
  <c r="I168"/>
  <c r="N167"/>
  <c r="I167"/>
  <c r="N166"/>
  <c r="I166"/>
  <c r="N165"/>
  <c r="I165"/>
  <c r="N164"/>
  <c r="J164"/>
  <c r="I164"/>
  <c r="N163"/>
  <c r="J163"/>
  <c r="I163"/>
  <c r="N162"/>
  <c r="I162"/>
  <c r="N161"/>
  <c r="I161"/>
  <c r="N160"/>
  <c r="I160"/>
  <c r="N159"/>
  <c r="I159"/>
  <c r="N158"/>
  <c r="I158"/>
  <c r="N157"/>
  <c r="I157"/>
  <c r="N156"/>
  <c r="I156"/>
  <c r="N155"/>
  <c r="I155"/>
  <c r="N154"/>
  <c r="I154"/>
  <c r="M153"/>
  <c r="N153" s="1"/>
  <c r="I153"/>
  <c r="M152"/>
  <c r="N152" s="1"/>
  <c r="I152"/>
  <c r="N151"/>
  <c r="I151"/>
  <c r="N150"/>
  <c r="N149"/>
  <c r="I149"/>
  <c r="N148"/>
  <c r="I148"/>
  <c r="N147"/>
  <c r="I147"/>
  <c r="N146"/>
  <c r="M146"/>
  <c r="I146"/>
  <c r="N145"/>
  <c r="I145"/>
  <c r="M144"/>
  <c r="N144" s="1"/>
  <c r="I144"/>
  <c r="M143"/>
  <c r="N143" s="1"/>
  <c r="I143"/>
  <c r="N142"/>
  <c r="I142"/>
  <c r="N141"/>
  <c r="I141"/>
  <c r="N140"/>
  <c r="I140"/>
  <c r="N139"/>
  <c r="I139"/>
  <c r="N138"/>
  <c r="I138"/>
  <c r="N137"/>
  <c r="I137"/>
  <c r="N136"/>
  <c r="N135"/>
  <c r="N134"/>
  <c r="I134"/>
  <c r="N133"/>
  <c r="I133"/>
  <c r="N132"/>
  <c r="I132"/>
  <c r="N131"/>
  <c r="H131"/>
  <c r="N130"/>
  <c r="N129"/>
  <c r="I129"/>
  <c r="K129" s="1"/>
  <c r="M128"/>
  <c r="I128"/>
  <c r="H128"/>
  <c r="I127"/>
  <c r="H127"/>
  <c r="M126"/>
  <c r="N126" s="1"/>
  <c r="I126"/>
  <c r="H126"/>
  <c r="N125"/>
  <c r="I125"/>
  <c r="M124"/>
  <c r="N124" s="1"/>
  <c r="H124"/>
  <c r="M123"/>
  <c r="N123" s="1"/>
  <c r="I123"/>
  <c r="N122"/>
  <c r="N121"/>
  <c r="I121"/>
  <c r="N120"/>
  <c r="I120"/>
  <c r="N119"/>
  <c r="I119"/>
  <c r="N118"/>
  <c r="I118"/>
  <c r="N117"/>
  <c r="I117"/>
  <c r="N116"/>
  <c r="I116"/>
  <c r="N115"/>
  <c r="N114"/>
  <c r="I114"/>
  <c r="N113"/>
  <c r="I113"/>
  <c r="L112"/>
  <c r="N112" s="1"/>
  <c r="I112"/>
  <c r="N111"/>
  <c r="I111"/>
  <c r="N110"/>
  <c r="I110"/>
  <c r="N109"/>
  <c r="I109"/>
  <c r="N108"/>
  <c r="I108"/>
  <c r="N107"/>
  <c r="J107"/>
  <c r="I107"/>
  <c r="N106"/>
  <c r="I106"/>
  <c r="N105"/>
  <c r="I105"/>
  <c r="N104"/>
  <c r="I104"/>
  <c r="L103"/>
  <c r="N103" s="1"/>
  <c r="I103"/>
  <c r="N102"/>
  <c r="I102"/>
  <c r="N101"/>
  <c r="I101"/>
  <c r="N100"/>
  <c r="I100"/>
  <c r="H100"/>
  <c r="N99"/>
  <c r="I99"/>
  <c r="N98"/>
  <c r="I98"/>
  <c r="H98"/>
  <c r="N97"/>
  <c r="N96"/>
  <c r="N95"/>
  <c r="K95"/>
  <c r="I95"/>
  <c r="N94"/>
  <c r="N93"/>
  <c r="K93"/>
  <c r="M91"/>
  <c r="L91"/>
  <c r="H91"/>
  <c r="N55"/>
  <c r="H55"/>
  <c r="N25"/>
  <c r="H25"/>
  <c r="M46"/>
  <c r="N46" s="1"/>
  <c r="H46"/>
  <c r="M44"/>
  <c r="L44"/>
  <c r="H44"/>
  <c r="M27"/>
  <c r="N27" s="1"/>
  <c r="H27"/>
  <c r="N12"/>
  <c r="H12"/>
  <c r="N76"/>
  <c r="H76"/>
  <c r="M80"/>
  <c r="L80"/>
  <c r="H80"/>
  <c r="M63"/>
  <c r="L63"/>
  <c r="H63"/>
  <c r="M11"/>
  <c r="N11" s="1"/>
  <c r="H11"/>
  <c r="M41"/>
  <c r="N41" s="1"/>
  <c r="H41"/>
  <c r="M45"/>
  <c r="N45" s="1"/>
  <c r="H45"/>
  <c r="N90"/>
  <c r="M33"/>
  <c r="L33"/>
  <c r="H33"/>
  <c r="M32" i="72"/>
  <c r="N32" s="1"/>
  <c r="J32"/>
  <c r="L17"/>
  <c r="M17"/>
  <c r="J17"/>
  <c r="M37"/>
  <c r="L37"/>
  <c r="N37" s="1"/>
  <c r="J37"/>
  <c r="L15"/>
  <c r="M15"/>
  <c r="J15"/>
  <c r="M14"/>
  <c r="L14"/>
  <c r="J14"/>
  <c r="M6"/>
  <c r="L6"/>
  <c r="J6"/>
  <c r="M29"/>
  <c r="M4"/>
  <c r="N4" s="1"/>
  <c r="J4"/>
  <c r="N17" l="1"/>
  <c r="N14"/>
  <c r="N15"/>
  <c r="N2" i="73"/>
  <c r="N51"/>
  <c r="N49"/>
  <c r="N61"/>
  <c r="N7"/>
  <c r="N74"/>
  <c r="K128"/>
  <c r="N86"/>
  <c r="N21"/>
  <c r="N80"/>
  <c r="N20"/>
  <c r="N4"/>
  <c r="N33"/>
  <c r="N19"/>
  <c r="N88"/>
  <c r="N63"/>
  <c r="N44"/>
  <c r="K127"/>
  <c r="N89"/>
  <c r="N31"/>
  <c r="N47"/>
  <c r="N10"/>
  <c r="N91"/>
  <c r="N13"/>
  <c r="N17"/>
  <c r="N30"/>
  <c r="N38"/>
  <c r="N9"/>
  <c r="N54"/>
  <c r="N6" i="72"/>
  <c r="M38"/>
  <c r="L38"/>
  <c r="M49"/>
  <c r="N49" s="1"/>
  <c r="J49"/>
  <c r="N202" i="73" l="1"/>
  <c r="N133" i="72"/>
  <c r="M54" l="1"/>
  <c r="N54" s="1"/>
  <c r="J54"/>
  <c r="M5"/>
  <c r="N5" s="1"/>
  <c r="L9" l="1"/>
  <c r="M9"/>
  <c r="J9"/>
  <c r="N29"/>
  <c r="J29"/>
  <c r="N9" l="1"/>
  <c r="N45" l="1"/>
  <c r="J45"/>
  <c r="M43"/>
  <c r="L43"/>
  <c r="J43"/>
  <c r="N28"/>
  <c r="J28"/>
  <c r="L27"/>
  <c r="N27" s="1"/>
  <c r="J27"/>
  <c r="N19"/>
  <c r="J19"/>
  <c r="M26"/>
  <c r="N26" s="1"/>
  <c r="J26"/>
  <c r="M56"/>
  <c r="N56" s="1"/>
  <c r="J56"/>
  <c r="M46"/>
  <c r="N46" s="1"/>
  <c r="J46"/>
  <c r="M42"/>
  <c r="N42" s="1"/>
  <c r="I168"/>
  <c r="N168"/>
  <c r="I167"/>
  <c r="N167"/>
  <c r="N43" l="1"/>
  <c r="J167"/>
  <c r="M3"/>
  <c r="L3"/>
  <c r="J3"/>
  <c r="N48"/>
  <c r="N13"/>
  <c r="M62"/>
  <c r="N62" s="1"/>
  <c r="J62"/>
  <c r="M2"/>
  <c r="N2" s="1"/>
  <c r="J2"/>
  <c r="N22"/>
  <c r="N57"/>
  <c r="N33"/>
  <c r="M8"/>
  <c r="L8"/>
  <c r="J8"/>
  <c r="J38"/>
  <c r="M47"/>
  <c r="N47" s="1"/>
  <c r="J47"/>
  <c r="M55"/>
  <c r="N55" s="1"/>
  <c r="J55"/>
  <c r="M39"/>
  <c r="L39"/>
  <c r="J39"/>
  <c r="M30"/>
  <c r="L30"/>
  <c r="J30"/>
  <c r="M50"/>
  <c r="N50" s="1"/>
  <c r="J50"/>
  <c r="M166"/>
  <c r="N166" s="1"/>
  <c r="J166"/>
  <c r="I166"/>
  <c r="J33"/>
  <c r="M24"/>
  <c r="L24"/>
  <c r="M18"/>
  <c r="N18" s="1"/>
  <c r="J18"/>
  <c r="M7"/>
  <c r="N7" s="1"/>
  <c r="J7"/>
  <c r="M23"/>
  <c r="L23"/>
  <c r="J23"/>
  <c r="M59"/>
  <c r="L59"/>
  <c r="J59"/>
  <c r="M58"/>
  <c r="L58"/>
  <c r="J58"/>
  <c r="M41"/>
  <c r="N41" s="1"/>
  <c r="J41"/>
  <c r="M51"/>
  <c r="N51" s="1"/>
  <c r="M12"/>
  <c r="L12"/>
  <c r="J12"/>
  <c r="M16"/>
  <c r="L16"/>
  <c r="J16"/>
  <c r="N165"/>
  <c r="I165"/>
  <c r="N164"/>
  <c r="I164"/>
  <c r="N163"/>
  <c r="I163"/>
  <c r="I162"/>
  <c r="N161"/>
  <c r="N160"/>
  <c r="L160"/>
  <c r="I160"/>
  <c r="N159"/>
  <c r="J159"/>
  <c r="I159"/>
  <c r="N158"/>
  <c r="I158"/>
  <c r="N157"/>
  <c r="I157"/>
  <c r="N156"/>
  <c r="I156"/>
  <c r="N155"/>
  <c r="N154"/>
  <c r="N153"/>
  <c r="I153"/>
  <c r="N152"/>
  <c r="I152"/>
  <c r="N151"/>
  <c r="I151"/>
  <c r="N150"/>
  <c r="N149"/>
  <c r="I149"/>
  <c r="N148"/>
  <c r="I148"/>
  <c r="N147"/>
  <c r="I147"/>
  <c r="N146"/>
  <c r="I146"/>
  <c r="N145"/>
  <c r="I145"/>
  <c r="N144"/>
  <c r="M144"/>
  <c r="I143"/>
  <c r="N142"/>
  <c r="I142"/>
  <c r="N141"/>
  <c r="I141"/>
  <c r="N140"/>
  <c r="I140"/>
  <c r="N139"/>
  <c r="I139"/>
  <c r="N138"/>
  <c r="I138"/>
  <c r="N137"/>
  <c r="I137"/>
  <c r="N136"/>
  <c r="I136"/>
  <c r="N135"/>
  <c r="I135"/>
  <c r="N134"/>
  <c r="J134"/>
  <c r="I134"/>
  <c r="J133"/>
  <c r="I133"/>
  <c r="N132"/>
  <c r="I132"/>
  <c r="N131"/>
  <c r="I131"/>
  <c r="N130"/>
  <c r="I130"/>
  <c r="N129"/>
  <c r="I129"/>
  <c r="N128"/>
  <c r="I128"/>
  <c r="N127"/>
  <c r="I127"/>
  <c r="N126"/>
  <c r="I126"/>
  <c r="N125"/>
  <c r="I125"/>
  <c r="N124"/>
  <c r="I124"/>
  <c r="M123"/>
  <c r="N123" s="1"/>
  <c r="I123"/>
  <c r="M122"/>
  <c r="N122" s="1"/>
  <c r="I122"/>
  <c r="N121"/>
  <c r="I121"/>
  <c r="N120"/>
  <c r="N119"/>
  <c r="I119"/>
  <c r="N118"/>
  <c r="I118"/>
  <c r="N117"/>
  <c r="I117"/>
  <c r="N116"/>
  <c r="M116"/>
  <c r="I116"/>
  <c r="N115"/>
  <c r="I115"/>
  <c r="M114"/>
  <c r="N114" s="1"/>
  <c r="I114"/>
  <c r="M113"/>
  <c r="N113" s="1"/>
  <c r="I113"/>
  <c r="N112"/>
  <c r="I112"/>
  <c r="N111"/>
  <c r="I111"/>
  <c r="N110"/>
  <c r="I110"/>
  <c r="N109"/>
  <c r="I109"/>
  <c r="N108"/>
  <c r="I108"/>
  <c r="N107"/>
  <c r="I107"/>
  <c r="N106"/>
  <c r="N105"/>
  <c r="N104"/>
  <c r="I104"/>
  <c r="N103"/>
  <c r="I103"/>
  <c r="N102"/>
  <c r="I102"/>
  <c r="N101"/>
  <c r="H101"/>
  <c r="N100"/>
  <c r="N99"/>
  <c r="I99"/>
  <c r="K99" s="1"/>
  <c r="M98"/>
  <c r="I98"/>
  <c r="H98"/>
  <c r="I97"/>
  <c r="H97"/>
  <c r="M96"/>
  <c r="N96" s="1"/>
  <c r="I96"/>
  <c r="H96"/>
  <c r="N95"/>
  <c r="I95"/>
  <c r="M94"/>
  <c r="N94" s="1"/>
  <c r="H94"/>
  <c r="M93"/>
  <c r="N93" s="1"/>
  <c r="I93"/>
  <c r="N92"/>
  <c r="N91"/>
  <c r="I91"/>
  <c r="N90"/>
  <c r="I90"/>
  <c r="N89"/>
  <c r="I89"/>
  <c r="N88"/>
  <c r="I88"/>
  <c r="N87"/>
  <c r="I87"/>
  <c r="N86"/>
  <c r="I86"/>
  <c r="N85"/>
  <c r="N84"/>
  <c r="I84"/>
  <c r="N83"/>
  <c r="I83"/>
  <c r="L82"/>
  <c r="N82" s="1"/>
  <c r="I82"/>
  <c r="N81"/>
  <c r="I81"/>
  <c r="N80"/>
  <c r="I80"/>
  <c r="N79"/>
  <c r="I79"/>
  <c r="N78"/>
  <c r="I78"/>
  <c r="N77"/>
  <c r="J77"/>
  <c r="I77"/>
  <c r="N76"/>
  <c r="I76"/>
  <c r="N75"/>
  <c r="I75"/>
  <c r="N74"/>
  <c r="I74"/>
  <c r="L73"/>
  <c r="N73" s="1"/>
  <c r="I73"/>
  <c r="N72"/>
  <c r="I72"/>
  <c r="N71"/>
  <c r="I71"/>
  <c r="N70"/>
  <c r="I70"/>
  <c r="H70"/>
  <c r="N69"/>
  <c r="I69"/>
  <c r="N68"/>
  <c r="I68"/>
  <c r="H68"/>
  <c r="N67"/>
  <c r="N66"/>
  <c r="N65"/>
  <c r="K65"/>
  <c r="I65"/>
  <c r="N64"/>
  <c r="N63"/>
  <c r="K63"/>
  <c r="M61"/>
  <c r="L61"/>
  <c r="H61"/>
  <c r="N40"/>
  <c r="H40"/>
  <c r="N20"/>
  <c r="H20"/>
  <c r="M36"/>
  <c r="N36" s="1"/>
  <c r="H36"/>
  <c r="M34"/>
  <c r="L34"/>
  <c r="H34"/>
  <c r="M21"/>
  <c r="N21" s="1"/>
  <c r="H21"/>
  <c r="N11"/>
  <c r="H11"/>
  <c r="N52"/>
  <c r="H52"/>
  <c r="M53"/>
  <c r="L53"/>
  <c r="H53"/>
  <c r="M44"/>
  <c r="L44"/>
  <c r="H44"/>
  <c r="M10"/>
  <c r="N10" s="1"/>
  <c r="H10"/>
  <c r="M31"/>
  <c r="N31" s="1"/>
  <c r="H31"/>
  <c r="M35"/>
  <c r="N35" s="1"/>
  <c r="H35"/>
  <c r="N60"/>
  <c r="M25"/>
  <c r="L25"/>
  <c r="H25"/>
  <c r="M3" i="71"/>
  <c r="L3"/>
  <c r="J3"/>
  <c r="M21"/>
  <c r="L21"/>
  <c r="J21"/>
  <c r="N3" i="72" l="1"/>
  <c r="N3" i="71"/>
  <c r="N24" i="72"/>
  <c r="N39"/>
  <c r="N34"/>
  <c r="N30"/>
  <c r="N16"/>
  <c r="N59"/>
  <c r="N38"/>
  <c r="N44"/>
  <c r="N58"/>
  <c r="N12"/>
  <c r="N23"/>
  <c r="N8"/>
  <c r="N25"/>
  <c r="K98"/>
  <c r="N53"/>
  <c r="N61"/>
  <c r="K97"/>
  <c r="N21" i="71"/>
  <c r="N169" i="72" l="1"/>
  <c r="M26" i="71"/>
  <c r="N26" s="1"/>
  <c r="J26"/>
  <c r="M31"/>
  <c r="N31" s="1"/>
  <c r="J31"/>
  <c r="M22"/>
  <c r="L22"/>
  <c r="J22"/>
  <c r="N11"/>
  <c r="N32"/>
  <c r="M15"/>
  <c r="L15"/>
  <c r="J15"/>
  <c r="M36"/>
  <c r="L36"/>
  <c r="M27"/>
  <c r="N27" s="1"/>
  <c r="J27"/>
  <c r="N22" l="1"/>
  <c r="N15"/>
  <c r="I141"/>
  <c r="M141"/>
  <c r="N141" s="1"/>
  <c r="J7"/>
  <c r="J6"/>
  <c r="J24"/>
  <c r="J33"/>
  <c r="J34"/>
  <c r="J12"/>
  <c r="J2"/>
  <c r="J8"/>
  <c r="J17"/>
  <c r="J141"/>
  <c r="N17"/>
  <c r="M13"/>
  <c r="L13"/>
  <c r="M8"/>
  <c r="N8" s="1"/>
  <c r="M2"/>
  <c r="N2" s="1"/>
  <c r="N13" l="1"/>
  <c r="M12"/>
  <c r="L12"/>
  <c r="M34"/>
  <c r="M33"/>
  <c r="L34"/>
  <c r="L33"/>
  <c r="N12" l="1"/>
  <c r="N33"/>
  <c r="N34"/>
  <c r="M24"/>
  <c r="N24" s="1"/>
  <c r="M28"/>
  <c r="N28" s="1"/>
  <c r="M6"/>
  <c r="L6"/>
  <c r="M7"/>
  <c r="L7"/>
  <c r="N23"/>
  <c r="N9"/>
  <c r="N5"/>
  <c r="N29"/>
  <c r="M104" i="69"/>
  <c r="N139" i="71"/>
  <c r="N135"/>
  <c r="N134"/>
  <c r="N100" i="70"/>
  <c r="N99"/>
  <c r="M102" i="69"/>
  <c r="N6" i="71" l="1"/>
  <c r="N7"/>
  <c r="N36"/>
  <c r="H36"/>
  <c r="H23"/>
  <c r="H9"/>
  <c r="M20"/>
  <c r="N20" s="1"/>
  <c r="H20"/>
  <c r="M18" l="1"/>
  <c r="L18"/>
  <c r="H18"/>
  <c r="M10"/>
  <c r="N10" s="1"/>
  <c r="H10"/>
  <c r="H5"/>
  <c r="N18" l="1"/>
  <c r="H29"/>
  <c r="N140"/>
  <c r="N35"/>
  <c r="M30"/>
  <c r="L30"/>
  <c r="H30"/>
  <c r="N111" i="70"/>
  <c r="M112"/>
  <c r="L112"/>
  <c r="I112"/>
  <c r="M114"/>
  <c r="L114"/>
  <c r="H114"/>
  <c r="M25" i="71"/>
  <c r="L25"/>
  <c r="H25"/>
  <c r="I140"/>
  <c r="M4"/>
  <c r="N4" s="1"/>
  <c r="H4"/>
  <c r="I139"/>
  <c r="M16"/>
  <c r="N16" s="1"/>
  <c r="H16"/>
  <c r="M19"/>
  <c r="N19" s="1"/>
  <c r="H19"/>
  <c r="M14"/>
  <c r="L14"/>
  <c r="H14"/>
  <c r="N138"/>
  <c r="I138"/>
  <c r="I137"/>
  <c r="N136"/>
  <c r="L135"/>
  <c r="I135"/>
  <c r="J134"/>
  <c r="I134"/>
  <c r="N133"/>
  <c r="I133"/>
  <c r="N132"/>
  <c r="I132"/>
  <c r="I131"/>
  <c r="N130"/>
  <c r="N129"/>
  <c r="N128"/>
  <c r="I128"/>
  <c r="N127"/>
  <c r="I127"/>
  <c r="N126"/>
  <c r="I126"/>
  <c r="N124"/>
  <c r="I124"/>
  <c r="N123"/>
  <c r="I123"/>
  <c r="N122"/>
  <c r="I122"/>
  <c r="N121"/>
  <c r="I121"/>
  <c r="N120"/>
  <c r="I120"/>
  <c r="N119"/>
  <c r="M119"/>
  <c r="I118"/>
  <c r="I117"/>
  <c r="N116"/>
  <c r="I116"/>
  <c r="N115"/>
  <c r="I115"/>
  <c r="N114"/>
  <c r="I114"/>
  <c r="N113"/>
  <c r="I113"/>
  <c r="N112"/>
  <c r="I112"/>
  <c r="N111"/>
  <c r="I111"/>
  <c r="N110"/>
  <c r="I110"/>
  <c r="N109"/>
  <c r="I109"/>
  <c r="N108"/>
  <c r="J108"/>
  <c r="I108"/>
  <c r="J107"/>
  <c r="I107"/>
  <c r="N106"/>
  <c r="I106"/>
  <c r="N105"/>
  <c r="I105"/>
  <c r="N104"/>
  <c r="I104"/>
  <c r="N103"/>
  <c r="I103"/>
  <c r="N102"/>
  <c r="I102"/>
  <c r="N101"/>
  <c r="I101"/>
  <c r="N100"/>
  <c r="I100"/>
  <c r="N99"/>
  <c r="I99"/>
  <c r="N98"/>
  <c r="I98"/>
  <c r="M97"/>
  <c r="N97" s="1"/>
  <c r="I97"/>
  <c r="M96"/>
  <c r="N96" s="1"/>
  <c r="I96"/>
  <c r="N95"/>
  <c r="I95"/>
  <c r="N94"/>
  <c r="N93"/>
  <c r="I93"/>
  <c r="N92"/>
  <c r="I92"/>
  <c r="N91"/>
  <c r="I91"/>
  <c r="N90"/>
  <c r="M90"/>
  <c r="I90"/>
  <c r="N89"/>
  <c r="I89"/>
  <c r="M88"/>
  <c r="N88" s="1"/>
  <c r="I88"/>
  <c r="M87"/>
  <c r="N87" s="1"/>
  <c r="I87"/>
  <c r="N86"/>
  <c r="I86"/>
  <c r="N85"/>
  <c r="I85"/>
  <c r="N84"/>
  <c r="I84"/>
  <c r="N83"/>
  <c r="I83"/>
  <c r="N82"/>
  <c r="I82"/>
  <c r="N81"/>
  <c r="I81"/>
  <c r="N80"/>
  <c r="N79"/>
  <c r="N78"/>
  <c r="I78"/>
  <c r="N77"/>
  <c r="I77"/>
  <c r="N76"/>
  <c r="I76"/>
  <c r="N75"/>
  <c r="H75"/>
  <c r="N74"/>
  <c r="N73"/>
  <c r="I73"/>
  <c r="K73" s="1"/>
  <c r="M72"/>
  <c r="I72"/>
  <c r="H72"/>
  <c r="I71"/>
  <c r="H71"/>
  <c r="M70"/>
  <c r="N70" s="1"/>
  <c r="I70"/>
  <c r="H70"/>
  <c r="N69"/>
  <c r="I69"/>
  <c r="M68"/>
  <c r="N68" s="1"/>
  <c r="H68"/>
  <c r="M67"/>
  <c r="N67" s="1"/>
  <c r="I67"/>
  <c r="N66"/>
  <c r="N65"/>
  <c r="I65"/>
  <c r="N64"/>
  <c r="I64"/>
  <c r="N63"/>
  <c r="I63"/>
  <c r="N62"/>
  <c r="I62"/>
  <c r="N61"/>
  <c r="I61"/>
  <c r="N60"/>
  <c r="I60"/>
  <c r="N59"/>
  <c r="N58"/>
  <c r="I58"/>
  <c r="N57"/>
  <c r="I57"/>
  <c r="L56"/>
  <c r="N56" s="1"/>
  <c r="I56"/>
  <c r="N55"/>
  <c r="I55"/>
  <c r="N54"/>
  <c r="I54"/>
  <c r="N53"/>
  <c r="I53"/>
  <c r="N52"/>
  <c r="I52"/>
  <c r="N51"/>
  <c r="J51"/>
  <c r="I51"/>
  <c r="N50"/>
  <c r="I50"/>
  <c r="N49"/>
  <c r="I49"/>
  <c r="N48"/>
  <c r="I48"/>
  <c r="L47"/>
  <c r="N47" s="1"/>
  <c r="I47"/>
  <c r="N46"/>
  <c r="I46"/>
  <c r="N45"/>
  <c r="I45"/>
  <c r="N44"/>
  <c r="I44"/>
  <c r="H44"/>
  <c r="N43"/>
  <c r="I43"/>
  <c r="N42"/>
  <c r="I42"/>
  <c r="H42"/>
  <c r="N41"/>
  <c r="N40"/>
  <c r="N39"/>
  <c r="K39"/>
  <c r="I39"/>
  <c r="N38"/>
  <c r="N37"/>
  <c r="K37"/>
  <c r="M113" i="70"/>
  <c r="L113"/>
  <c r="N113" s="1"/>
  <c r="H113"/>
  <c r="M111"/>
  <c r="L111"/>
  <c r="H111"/>
  <c r="N110"/>
  <c r="I110"/>
  <c r="N108"/>
  <c r="M109"/>
  <c r="N109" s="1"/>
  <c r="H109"/>
  <c r="I108"/>
  <c r="M107"/>
  <c r="N107" s="1"/>
  <c r="M106"/>
  <c r="N106" s="1"/>
  <c r="H107"/>
  <c r="H106"/>
  <c r="N112" l="1"/>
  <c r="N14" i="71"/>
  <c r="N25"/>
  <c r="N30"/>
  <c r="K71"/>
  <c r="N114" i="70"/>
  <c r="K72" i="71"/>
  <c r="N105" i="70"/>
  <c r="M104"/>
  <c r="L104"/>
  <c r="H104"/>
  <c r="N103"/>
  <c r="I103"/>
  <c r="M105" i="69"/>
  <c r="H105"/>
  <c r="N143" i="71" l="1"/>
  <c r="N104" i="70"/>
  <c r="I102"/>
  <c r="H104" i="69"/>
  <c r="N101" i="70"/>
  <c r="M103" i="69"/>
  <c r="M101"/>
  <c r="M104" i="67"/>
  <c r="M103"/>
  <c r="H104"/>
  <c r="L100" i="70"/>
  <c r="I100"/>
  <c r="J99"/>
  <c r="I99"/>
  <c r="N98"/>
  <c r="I98"/>
  <c r="N97"/>
  <c r="I97"/>
  <c r="N96"/>
  <c r="I96"/>
  <c r="N95"/>
  <c r="N94"/>
  <c r="N93"/>
  <c r="I93"/>
  <c r="N92"/>
  <c r="I92"/>
  <c r="N91"/>
  <c r="I91"/>
  <c r="N90"/>
  <c r="N89"/>
  <c r="I89"/>
  <c r="N88"/>
  <c r="I88"/>
  <c r="N87"/>
  <c r="I87"/>
  <c r="N86"/>
  <c r="I86"/>
  <c r="N85"/>
  <c r="I85"/>
  <c r="N84"/>
  <c r="M84"/>
  <c r="N83"/>
  <c r="I83"/>
  <c r="N82"/>
  <c r="I82"/>
  <c r="N81"/>
  <c r="I81"/>
  <c r="N80"/>
  <c r="I80"/>
  <c r="N79"/>
  <c r="I79"/>
  <c r="N78"/>
  <c r="I78"/>
  <c r="N77"/>
  <c r="I77"/>
  <c r="N76"/>
  <c r="I76"/>
  <c r="N75"/>
  <c r="I75"/>
  <c r="N74"/>
  <c r="I74"/>
  <c r="N73"/>
  <c r="J73"/>
  <c r="I73"/>
  <c r="J72"/>
  <c r="I72"/>
  <c r="N71"/>
  <c r="I71"/>
  <c r="N70"/>
  <c r="I70"/>
  <c r="N69"/>
  <c r="I69"/>
  <c r="N68"/>
  <c r="I68"/>
  <c r="N67"/>
  <c r="I67"/>
  <c r="N66"/>
  <c r="I66"/>
  <c r="N65"/>
  <c r="I65"/>
  <c r="N64"/>
  <c r="I64"/>
  <c r="N63"/>
  <c r="I63"/>
  <c r="M62"/>
  <c r="N62" s="1"/>
  <c r="I62"/>
  <c r="M61"/>
  <c r="N61" s="1"/>
  <c r="I61"/>
  <c r="N60"/>
  <c r="I60"/>
  <c r="N59"/>
  <c r="N58"/>
  <c r="I58"/>
  <c r="N57"/>
  <c r="I57"/>
  <c r="N56"/>
  <c r="I56"/>
  <c r="N55"/>
  <c r="M55"/>
  <c r="I55"/>
  <c r="N54"/>
  <c r="I54"/>
  <c r="M53"/>
  <c r="N53" s="1"/>
  <c r="I53"/>
  <c r="M52"/>
  <c r="N52" s="1"/>
  <c r="I52"/>
  <c r="N51"/>
  <c r="I51"/>
  <c r="N50"/>
  <c r="I50"/>
  <c r="N49"/>
  <c r="I49"/>
  <c r="N48"/>
  <c r="I48"/>
  <c r="N47"/>
  <c r="I47"/>
  <c r="N46"/>
  <c r="I46"/>
  <c r="N45"/>
  <c r="N44"/>
  <c r="N43"/>
  <c r="I43"/>
  <c r="N42"/>
  <c r="I42"/>
  <c r="N41"/>
  <c r="I41"/>
  <c r="N40"/>
  <c r="H40"/>
  <c r="N39"/>
  <c r="N38"/>
  <c r="I38"/>
  <c r="K38" s="1"/>
  <c r="M37"/>
  <c r="I37"/>
  <c r="H37"/>
  <c r="I36"/>
  <c r="H36"/>
  <c r="M35"/>
  <c r="N35" s="1"/>
  <c r="I35"/>
  <c r="H35"/>
  <c r="N34"/>
  <c r="I34"/>
  <c r="M33"/>
  <c r="N33" s="1"/>
  <c r="H33"/>
  <c r="M32"/>
  <c r="N32" s="1"/>
  <c r="I32"/>
  <c r="N31"/>
  <c r="N30"/>
  <c r="I30"/>
  <c r="N29"/>
  <c r="I29"/>
  <c r="N28"/>
  <c r="I28"/>
  <c r="N27"/>
  <c r="I27"/>
  <c r="N26"/>
  <c r="I26"/>
  <c r="N25"/>
  <c r="I25"/>
  <c r="N24"/>
  <c r="N23"/>
  <c r="I23"/>
  <c r="N22"/>
  <c r="I22"/>
  <c r="L21"/>
  <c r="N21" s="1"/>
  <c r="I21"/>
  <c r="N20"/>
  <c r="I20"/>
  <c r="N19"/>
  <c r="I19"/>
  <c r="N18"/>
  <c r="I18"/>
  <c r="N17"/>
  <c r="I17"/>
  <c r="N16"/>
  <c r="J16"/>
  <c r="I16"/>
  <c r="N15"/>
  <c r="I15"/>
  <c r="N14"/>
  <c r="I14"/>
  <c r="N13"/>
  <c r="I13"/>
  <c r="L12"/>
  <c r="N12" s="1"/>
  <c r="I12"/>
  <c r="N11"/>
  <c r="I11"/>
  <c r="N10"/>
  <c r="I10"/>
  <c r="N9"/>
  <c r="I9"/>
  <c r="H9"/>
  <c r="N8"/>
  <c r="I8"/>
  <c r="N7"/>
  <c r="I7"/>
  <c r="H7"/>
  <c r="N6"/>
  <c r="N5"/>
  <c r="N4"/>
  <c r="K4"/>
  <c r="I4"/>
  <c r="N3"/>
  <c r="N2"/>
  <c r="K2"/>
  <c r="G43" i="69"/>
  <c r="H43"/>
  <c r="L43"/>
  <c r="M43" s="1"/>
  <c r="K102"/>
  <c r="H102"/>
  <c r="I101"/>
  <c r="H101"/>
  <c r="M100"/>
  <c r="H100"/>
  <c r="M99"/>
  <c r="H99"/>
  <c r="M98"/>
  <c r="H98"/>
  <c r="M97"/>
  <c r="M96"/>
  <c r="M95"/>
  <c r="H95"/>
  <c r="M94"/>
  <c r="H94"/>
  <c r="M93"/>
  <c r="H93"/>
  <c r="M92"/>
  <c r="M91"/>
  <c r="H91"/>
  <c r="M90"/>
  <c r="H90"/>
  <c r="M89"/>
  <c r="H89"/>
  <c r="M88"/>
  <c r="H88"/>
  <c r="M87"/>
  <c r="H87"/>
  <c r="M86"/>
  <c r="L86"/>
  <c r="M85"/>
  <c r="H85"/>
  <c r="M84"/>
  <c r="H84"/>
  <c r="M83"/>
  <c r="H83"/>
  <c r="M82"/>
  <c r="H82"/>
  <c r="M81"/>
  <c r="H81"/>
  <c r="M80"/>
  <c r="H80"/>
  <c r="M79"/>
  <c r="H79"/>
  <c r="M78"/>
  <c r="H78"/>
  <c r="M77"/>
  <c r="H77"/>
  <c r="M76"/>
  <c r="H76"/>
  <c r="M75"/>
  <c r="I75"/>
  <c r="H75"/>
  <c r="I74"/>
  <c r="H74"/>
  <c r="M73"/>
  <c r="H73"/>
  <c r="M72"/>
  <c r="H72"/>
  <c r="M71"/>
  <c r="H71"/>
  <c r="M70"/>
  <c r="H70"/>
  <c r="M69"/>
  <c r="H69"/>
  <c r="M68"/>
  <c r="H68"/>
  <c r="M67"/>
  <c r="H67"/>
  <c r="M66"/>
  <c r="H66"/>
  <c r="M65"/>
  <c r="H65"/>
  <c r="L64"/>
  <c r="M64" s="1"/>
  <c r="H64"/>
  <c r="L63"/>
  <c r="M63" s="1"/>
  <c r="H63"/>
  <c r="M62"/>
  <c r="H62"/>
  <c r="M61"/>
  <c r="M60"/>
  <c r="H60"/>
  <c r="M59"/>
  <c r="H59"/>
  <c r="M58"/>
  <c r="H58"/>
  <c r="M57"/>
  <c r="L57"/>
  <c r="H57"/>
  <c r="M56"/>
  <c r="L56"/>
  <c r="M55"/>
  <c r="H55"/>
  <c r="L54"/>
  <c r="M54" s="1"/>
  <c r="H54"/>
  <c r="L53"/>
  <c r="M53" s="1"/>
  <c r="H53"/>
  <c r="M52"/>
  <c r="H52"/>
  <c r="M51"/>
  <c r="H51"/>
  <c r="M50"/>
  <c r="H50"/>
  <c r="M49"/>
  <c r="H49"/>
  <c r="M48"/>
  <c r="H48"/>
  <c r="M47"/>
  <c r="H47"/>
  <c r="M46"/>
  <c r="M45"/>
  <c r="M44"/>
  <c r="H44"/>
  <c r="M42"/>
  <c r="H42"/>
  <c r="M41"/>
  <c r="H41"/>
  <c r="M40"/>
  <c r="G40"/>
  <c r="M39"/>
  <c r="M38"/>
  <c r="H38"/>
  <c r="J38" s="1"/>
  <c r="L37"/>
  <c r="H37"/>
  <c r="G37"/>
  <c r="H36"/>
  <c r="G36"/>
  <c r="L35"/>
  <c r="M35" s="1"/>
  <c r="H35"/>
  <c r="G35"/>
  <c r="M34"/>
  <c r="H34"/>
  <c r="L33"/>
  <c r="M33" s="1"/>
  <c r="G33"/>
  <c r="L32"/>
  <c r="M32" s="1"/>
  <c r="H32"/>
  <c r="M31"/>
  <c r="M30"/>
  <c r="H30"/>
  <c r="M29"/>
  <c r="H29"/>
  <c r="M28"/>
  <c r="H28"/>
  <c r="M27"/>
  <c r="H27"/>
  <c r="M26"/>
  <c r="H26"/>
  <c r="M25"/>
  <c r="H25"/>
  <c r="M24"/>
  <c r="M23"/>
  <c r="H23"/>
  <c r="M22"/>
  <c r="H22"/>
  <c r="K21"/>
  <c r="M21" s="1"/>
  <c r="H21"/>
  <c r="M20"/>
  <c r="H20"/>
  <c r="M19"/>
  <c r="H19"/>
  <c r="M18"/>
  <c r="H18"/>
  <c r="M17"/>
  <c r="H17"/>
  <c r="M16"/>
  <c r="I16"/>
  <c r="H16"/>
  <c r="M15"/>
  <c r="H15"/>
  <c r="M14"/>
  <c r="H14"/>
  <c r="M13"/>
  <c r="H13"/>
  <c r="K12"/>
  <c r="M12" s="1"/>
  <c r="H12"/>
  <c r="M11"/>
  <c r="H11"/>
  <c r="M10"/>
  <c r="H10"/>
  <c r="M9"/>
  <c r="H9"/>
  <c r="G9"/>
  <c r="M8"/>
  <c r="H8"/>
  <c r="M7"/>
  <c r="H7"/>
  <c r="G7"/>
  <c r="M6"/>
  <c r="M5"/>
  <c r="M4"/>
  <c r="J4"/>
  <c r="H4"/>
  <c r="M3"/>
  <c r="M2"/>
  <c r="J2"/>
  <c r="M85" i="67"/>
  <c r="M106" i="69" l="1"/>
  <c r="N115" i="70"/>
  <c r="K36"/>
  <c r="K37"/>
  <c r="J36" i="69"/>
  <c r="J37"/>
  <c r="K104" i="67"/>
  <c r="L104" i="68"/>
  <c r="H104"/>
  <c r="G104"/>
  <c r="L103"/>
  <c r="G103"/>
  <c r="L102"/>
  <c r="G102"/>
  <c r="L101"/>
  <c r="G101"/>
  <c r="L100"/>
  <c r="L99"/>
  <c r="L98"/>
  <c r="G98"/>
  <c r="L97"/>
  <c r="G97"/>
  <c r="L96"/>
  <c r="G96"/>
  <c r="L95"/>
  <c r="L94"/>
  <c r="G94"/>
  <c r="L93"/>
  <c r="G93"/>
  <c r="L92"/>
  <c r="G92"/>
  <c r="L91"/>
  <c r="G91"/>
  <c r="L90"/>
  <c r="G90"/>
  <c r="L89"/>
  <c r="K89"/>
  <c r="L88"/>
  <c r="G88"/>
  <c r="L87"/>
  <c r="G87"/>
  <c r="L86"/>
  <c r="G86"/>
  <c r="L85"/>
  <c r="G85"/>
  <c r="L84"/>
  <c r="G84"/>
  <c r="L83"/>
  <c r="G83"/>
  <c r="L82"/>
  <c r="G82"/>
  <c r="L81"/>
  <c r="G81"/>
  <c r="L80"/>
  <c r="G80"/>
  <c r="L79"/>
  <c r="G79"/>
  <c r="L78"/>
  <c r="H78"/>
  <c r="G78"/>
  <c r="L77"/>
  <c r="H77"/>
  <c r="G77"/>
  <c r="L76"/>
  <c r="G76"/>
  <c r="L75"/>
  <c r="G75"/>
  <c r="L74"/>
  <c r="G74"/>
  <c r="L73"/>
  <c r="G73"/>
  <c r="L72"/>
  <c r="G72"/>
  <c r="L71"/>
  <c r="G71"/>
  <c r="L70"/>
  <c r="G70"/>
  <c r="L69"/>
  <c r="G69"/>
  <c r="L68"/>
  <c r="G68"/>
  <c r="K67"/>
  <c r="L67" s="1"/>
  <c r="G67"/>
  <c r="K66"/>
  <c r="L66" s="1"/>
  <c r="G66"/>
  <c r="L65"/>
  <c r="G65"/>
  <c r="L64"/>
  <c r="L63"/>
  <c r="G63"/>
  <c r="L62"/>
  <c r="G62"/>
  <c r="L61"/>
  <c r="G61"/>
  <c r="L60"/>
  <c r="K60"/>
  <c r="G60"/>
  <c r="L59"/>
  <c r="K59"/>
  <c r="L58"/>
  <c r="G58"/>
  <c r="K57"/>
  <c r="L57" s="1"/>
  <c r="G57"/>
  <c r="K56"/>
  <c r="L56" s="1"/>
  <c r="G56"/>
  <c r="L55"/>
  <c r="G55"/>
  <c r="L54"/>
  <c r="G54"/>
  <c r="L53"/>
  <c r="G53"/>
  <c r="L52"/>
  <c r="G52"/>
  <c r="L51"/>
  <c r="G51"/>
  <c r="L50"/>
  <c r="G50"/>
  <c r="L49"/>
  <c r="G49"/>
  <c r="L48"/>
  <c r="L47"/>
  <c r="L46"/>
  <c r="G46"/>
  <c r="K45"/>
  <c r="L45" s="1"/>
  <c r="G45"/>
  <c r="F45"/>
  <c r="L44"/>
  <c r="G44"/>
  <c r="L43"/>
  <c r="G43"/>
  <c r="L42"/>
  <c r="G42"/>
  <c r="L41"/>
  <c r="L40"/>
  <c r="F40"/>
  <c r="L39"/>
  <c r="L38"/>
  <c r="G38"/>
  <c r="I38" s="1"/>
  <c r="K37"/>
  <c r="G37"/>
  <c r="F37"/>
  <c r="G36"/>
  <c r="F36"/>
  <c r="K35"/>
  <c r="L35" s="1"/>
  <c r="G35"/>
  <c r="F35"/>
  <c r="L34"/>
  <c r="G34"/>
  <c r="K33"/>
  <c r="L33" s="1"/>
  <c r="F33"/>
  <c r="K32"/>
  <c r="L32" s="1"/>
  <c r="G32"/>
  <c r="L31"/>
  <c r="L30"/>
  <c r="G30"/>
  <c r="L29"/>
  <c r="G29"/>
  <c r="L28"/>
  <c r="G28"/>
  <c r="L27"/>
  <c r="G27"/>
  <c r="L26"/>
  <c r="G26"/>
  <c r="L25"/>
  <c r="G25"/>
  <c r="L24"/>
  <c r="L23"/>
  <c r="G23"/>
  <c r="L22"/>
  <c r="G22"/>
  <c r="J21"/>
  <c r="L21" s="1"/>
  <c r="G21"/>
  <c r="L20"/>
  <c r="G20"/>
  <c r="L19"/>
  <c r="G19"/>
  <c r="L18"/>
  <c r="G18"/>
  <c r="L17"/>
  <c r="G17"/>
  <c r="L16"/>
  <c r="H16"/>
  <c r="G16"/>
  <c r="L15"/>
  <c r="G15"/>
  <c r="L14"/>
  <c r="G14"/>
  <c r="L13"/>
  <c r="G13"/>
  <c r="J12"/>
  <c r="L12" s="1"/>
  <c r="G12"/>
  <c r="L11"/>
  <c r="G11"/>
  <c r="L10"/>
  <c r="G10"/>
  <c r="L9"/>
  <c r="G9"/>
  <c r="F9"/>
  <c r="L8"/>
  <c r="G8"/>
  <c r="L7"/>
  <c r="G7"/>
  <c r="F7"/>
  <c r="L6"/>
  <c r="L5"/>
  <c r="L4"/>
  <c r="I4"/>
  <c r="G4"/>
  <c r="L3"/>
  <c r="L2"/>
  <c r="I2"/>
  <c r="I103" i="67"/>
  <c r="H103"/>
  <c r="M102"/>
  <c r="H102"/>
  <c r="M101"/>
  <c r="H101"/>
  <c r="M100"/>
  <c r="H100"/>
  <c r="M99"/>
  <c r="M98"/>
  <c r="M97"/>
  <c r="H97"/>
  <c r="M96"/>
  <c r="H96"/>
  <c r="M95"/>
  <c r="H95"/>
  <c r="M94"/>
  <c r="M93"/>
  <c r="H93"/>
  <c r="M92"/>
  <c r="H92"/>
  <c r="M91"/>
  <c r="H91"/>
  <c r="M90"/>
  <c r="H90"/>
  <c r="M89"/>
  <c r="H89"/>
  <c r="M88"/>
  <c r="L88"/>
  <c r="M87"/>
  <c r="H87"/>
  <c r="M86"/>
  <c r="H86"/>
  <c r="H85"/>
  <c r="M84"/>
  <c r="H84"/>
  <c r="M83"/>
  <c r="H83"/>
  <c r="M82"/>
  <c r="H82"/>
  <c r="M81"/>
  <c r="H81"/>
  <c r="M80"/>
  <c r="H80"/>
  <c r="M79"/>
  <c r="H79"/>
  <c r="M78"/>
  <c r="H78"/>
  <c r="M77"/>
  <c r="I77"/>
  <c r="H77"/>
  <c r="M76"/>
  <c r="I76"/>
  <c r="H76"/>
  <c r="M75"/>
  <c r="H75"/>
  <c r="M74"/>
  <c r="H74"/>
  <c r="M73"/>
  <c r="H73"/>
  <c r="M72"/>
  <c r="H72"/>
  <c r="M71"/>
  <c r="H71"/>
  <c r="M70"/>
  <c r="H70"/>
  <c r="M69"/>
  <c r="H69"/>
  <c r="M68"/>
  <c r="H68"/>
  <c r="M67"/>
  <c r="H67"/>
  <c r="L66"/>
  <c r="M66" s="1"/>
  <c r="H66"/>
  <c r="L65"/>
  <c r="M65" s="1"/>
  <c r="H65"/>
  <c r="M64"/>
  <c r="H64"/>
  <c r="M63"/>
  <c r="M62"/>
  <c r="H62"/>
  <c r="M61"/>
  <c r="H61"/>
  <c r="M60"/>
  <c r="H60"/>
  <c r="M59"/>
  <c r="L59"/>
  <c r="H59"/>
  <c r="M58"/>
  <c r="L58"/>
  <c r="M57"/>
  <c r="H57"/>
  <c r="L56"/>
  <c r="M56" s="1"/>
  <c r="H56"/>
  <c r="L55"/>
  <c r="M55" s="1"/>
  <c r="H55"/>
  <c r="M54"/>
  <c r="H54"/>
  <c r="M53"/>
  <c r="H53"/>
  <c r="M52"/>
  <c r="H52"/>
  <c r="M51"/>
  <c r="H51"/>
  <c r="M50"/>
  <c r="H50"/>
  <c r="M49"/>
  <c r="H49"/>
  <c r="M48"/>
  <c r="H48"/>
  <c r="M47"/>
  <c r="M46"/>
  <c r="M45"/>
  <c r="H45"/>
  <c r="L44"/>
  <c r="M44" s="1"/>
  <c r="H44"/>
  <c r="G44"/>
  <c r="M43"/>
  <c r="H43"/>
  <c r="M42"/>
  <c r="H42"/>
  <c r="M41"/>
  <c r="H41"/>
  <c r="M40"/>
  <c r="G40"/>
  <c r="M39"/>
  <c r="M38"/>
  <c r="H38"/>
  <c r="J38" s="1"/>
  <c r="L37"/>
  <c r="H37"/>
  <c r="G37"/>
  <c r="H36"/>
  <c r="G36"/>
  <c r="L35"/>
  <c r="M35" s="1"/>
  <c r="H35"/>
  <c r="G35"/>
  <c r="M34"/>
  <c r="H34"/>
  <c r="L33"/>
  <c r="M33" s="1"/>
  <c r="G33"/>
  <c r="L32"/>
  <c r="M32" s="1"/>
  <c r="H32"/>
  <c r="M31"/>
  <c r="M30"/>
  <c r="H30"/>
  <c r="M29"/>
  <c r="H29"/>
  <c r="M28"/>
  <c r="H28"/>
  <c r="M27"/>
  <c r="H27"/>
  <c r="M26"/>
  <c r="H26"/>
  <c r="M25"/>
  <c r="H25"/>
  <c r="M24"/>
  <c r="M23"/>
  <c r="H23"/>
  <c r="M22"/>
  <c r="H22"/>
  <c r="K21"/>
  <c r="M21" s="1"/>
  <c r="H21"/>
  <c r="M20"/>
  <c r="H20"/>
  <c r="M19"/>
  <c r="H19"/>
  <c r="M18"/>
  <c r="H18"/>
  <c r="M17"/>
  <c r="H17"/>
  <c r="M16"/>
  <c r="I16"/>
  <c r="H16"/>
  <c r="M15"/>
  <c r="H15"/>
  <c r="M14"/>
  <c r="H14"/>
  <c r="M13"/>
  <c r="H13"/>
  <c r="K12"/>
  <c r="M12" s="1"/>
  <c r="H12"/>
  <c r="M11"/>
  <c r="H11"/>
  <c r="M10"/>
  <c r="H10"/>
  <c r="M9"/>
  <c r="H9"/>
  <c r="G9"/>
  <c r="M8"/>
  <c r="H8"/>
  <c r="M7"/>
  <c r="H7"/>
  <c r="G7"/>
  <c r="M6"/>
  <c r="M5"/>
  <c r="M4"/>
  <c r="J4"/>
  <c r="H4"/>
  <c r="M3"/>
  <c r="M2"/>
  <c r="J2"/>
  <c r="L104" i="65"/>
  <c r="L100" i="66"/>
  <c r="L99"/>
  <c r="L100" i="65"/>
  <c r="L99"/>
  <c r="L101" i="64"/>
  <c r="L100"/>
  <c r="L101" i="66"/>
  <c r="L101" i="65"/>
  <c r="L102" i="64"/>
  <c r="L105" i="63"/>
  <c r="L102"/>
  <c r="L101"/>
  <c r="L104" i="66"/>
  <c r="L103"/>
  <c r="L102"/>
  <c r="H104"/>
  <c r="G104"/>
  <c r="G103"/>
  <c r="G102"/>
  <c r="G101"/>
  <c r="L98"/>
  <c r="G98"/>
  <c r="L97"/>
  <c r="G97"/>
  <c r="L96"/>
  <c r="G96"/>
  <c r="L95"/>
  <c r="L94"/>
  <c r="G94"/>
  <c r="L93"/>
  <c r="G93"/>
  <c r="L92"/>
  <c r="G92"/>
  <c r="L91"/>
  <c r="G91"/>
  <c r="L90"/>
  <c r="G90"/>
  <c r="L89"/>
  <c r="K89"/>
  <c r="L88"/>
  <c r="G88"/>
  <c r="L87"/>
  <c r="G87"/>
  <c r="L86"/>
  <c r="G86"/>
  <c r="L85"/>
  <c r="G85"/>
  <c r="L84"/>
  <c r="G84"/>
  <c r="L83"/>
  <c r="G83"/>
  <c r="L82"/>
  <c r="G82"/>
  <c r="L81"/>
  <c r="G81"/>
  <c r="L80"/>
  <c r="G80"/>
  <c r="L79"/>
  <c r="G79"/>
  <c r="L78"/>
  <c r="H78"/>
  <c r="G78"/>
  <c r="L77"/>
  <c r="H77"/>
  <c r="G77"/>
  <c r="L76"/>
  <c r="G76"/>
  <c r="L75"/>
  <c r="G75"/>
  <c r="L74"/>
  <c r="G74"/>
  <c r="L73"/>
  <c r="G73"/>
  <c r="L72"/>
  <c r="G72"/>
  <c r="L71"/>
  <c r="G71"/>
  <c r="L70"/>
  <c r="G70"/>
  <c r="L69"/>
  <c r="G69"/>
  <c r="L68"/>
  <c r="G68"/>
  <c r="K67"/>
  <c r="L67" s="1"/>
  <c r="G67"/>
  <c r="K66"/>
  <c r="L66" s="1"/>
  <c r="G66"/>
  <c r="L65"/>
  <c r="G65"/>
  <c r="L64"/>
  <c r="L63"/>
  <c r="G63"/>
  <c r="L62"/>
  <c r="G62"/>
  <c r="L61"/>
  <c r="G61"/>
  <c r="L60"/>
  <c r="K60"/>
  <c r="G60"/>
  <c r="L59"/>
  <c r="K59"/>
  <c r="L58"/>
  <c r="G58"/>
  <c r="K57"/>
  <c r="L57" s="1"/>
  <c r="G57"/>
  <c r="K56"/>
  <c r="L56" s="1"/>
  <c r="G56"/>
  <c r="L55"/>
  <c r="G55"/>
  <c r="L54"/>
  <c r="G54"/>
  <c r="L53"/>
  <c r="G53"/>
  <c r="L52"/>
  <c r="G52"/>
  <c r="L51"/>
  <c r="G51"/>
  <c r="L50"/>
  <c r="G50"/>
  <c r="L49"/>
  <c r="G49"/>
  <c r="L48"/>
  <c r="L47"/>
  <c r="L46"/>
  <c r="G46"/>
  <c r="K45"/>
  <c r="L45" s="1"/>
  <c r="G45"/>
  <c r="F45"/>
  <c r="L44"/>
  <c r="G44"/>
  <c r="L43"/>
  <c r="G43"/>
  <c r="L42"/>
  <c r="G42"/>
  <c r="L41"/>
  <c r="L40"/>
  <c r="F40"/>
  <c r="L39"/>
  <c r="L38"/>
  <c r="G38"/>
  <c r="I38" s="1"/>
  <c r="K37"/>
  <c r="G37"/>
  <c r="F37"/>
  <c r="G36"/>
  <c r="F36"/>
  <c r="K35"/>
  <c r="L35" s="1"/>
  <c r="G35"/>
  <c r="F35"/>
  <c r="L34"/>
  <c r="G34"/>
  <c r="K33"/>
  <c r="L33" s="1"/>
  <c r="F33"/>
  <c r="K32"/>
  <c r="L32" s="1"/>
  <c r="G32"/>
  <c r="L31"/>
  <c r="L30"/>
  <c r="G30"/>
  <c r="L29"/>
  <c r="G29"/>
  <c r="L28"/>
  <c r="G28"/>
  <c r="L27"/>
  <c r="G27"/>
  <c r="L26"/>
  <c r="G26"/>
  <c r="L25"/>
  <c r="G25"/>
  <c r="L24"/>
  <c r="L23"/>
  <c r="G23"/>
  <c r="L22"/>
  <c r="G22"/>
  <c r="J21"/>
  <c r="L21" s="1"/>
  <c r="G21"/>
  <c r="L20"/>
  <c r="G20"/>
  <c r="L19"/>
  <c r="G19"/>
  <c r="L18"/>
  <c r="G18"/>
  <c r="L17"/>
  <c r="G17"/>
  <c r="L16"/>
  <c r="H16"/>
  <c r="G16"/>
  <c r="L15"/>
  <c r="G15"/>
  <c r="L14"/>
  <c r="G14"/>
  <c r="L13"/>
  <c r="G13"/>
  <c r="J12"/>
  <c r="L12" s="1"/>
  <c r="G12"/>
  <c r="L11"/>
  <c r="G11"/>
  <c r="L10"/>
  <c r="G10"/>
  <c r="L9"/>
  <c r="G9"/>
  <c r="F9"/>
  <c r="L8"/>
  <c r="G8"/>
  <c r="L7"/>
  <c r="G7"/>
  <c r="F7"/>
  <c r="L6"/>
  <c r="L5"/>
  <c r="L4"/>
  <c r="I4"/>
  <c r="G4"/>
  <c r="L3"/>
  <c r="L2"/>
  <c r="I2"/>
  <c r="G104" i="65"/>
  <c r="G101"/>
  <c r="G102" i="64"/>
  <c r="L98" i="65"/>
  <c r="L97"/>
  <c r="L96"/>
  <c r="L95"/>
  <c r="L99" i="64"/>
  <c r="L98"/>
  <c r="L97"/>
  <c r="L96"/>
  <c r="L95"/>
  <c r="L94"/>
  <c r="L94" i="65"/>
  <c r="L93"/>
  <c r="H104"/>
  <c r="L103"/>
  <c r="G103"/>
  <c r="L102"/>
  <c r="G102"/>
  <c r="G98"/>
  <c r="G97"/>
  <c r="G96"/>
  <c r="G94"/>
  <c r="G93"/>
  <c r="L92"/>
  <c r="G92"/>
  <c r="L91"/>
  <c r="G91"/>
  <c r="L90"/>
  <c r="G90"/>
  <c r="L89"/>
  <c r="K89"/>
  <c r="L88"/>
  <c r="G88"/>
  <c r="L87"/>
  <c r="G87"/>
  <c r="L86"/>
  <c r="G86"/>
  <c r="L85"/>
  <c r="G85"/>
  <c r="L84"/>
  <c r="G84"/>
  <c r="L83"/>
  <c r="G83"/>
  <c r="L82"/>
  <c r="G82"/>
  <c r="L81"/>
  <c r="G81"/>
  <c r="L80"/>
  <c r="G80"/>
  <c r="L79"/>
  <c r="G79"/>
  <c r="L78"/>
  <c r="H78"/>
  <c r="G78"/>
  <c r="L77"/>
  <c r="H77"/>
  <c r="G77"/>
  <c r="L76"/>
  <c r="G76"/>
  <c r="L75"/>
  <c r="G75"/>
  <c r="L74"/>
  <c r="G74"/>
  <c r="L73"/>
  <c r="G73"/>
  <c r="L72"/>
  <c r="G72"/>
  <c r="L71"/>
  <c r="G71"/>
  <c r="L70"/>
  <c r="G70"/>
  <c r="L69"/>
  <c r="G69"/>
  <c r="L68"/>
  <c r="G68"/>
  <c r="K67"/>
  <c r="L67" s="1"/>
  <c r="G67"/>
  <c r="K66"/>
  <c r="L66" s="1"/>
  <c r="G66"/>
  <c r="L65"/>
  <c r="G65"/>
  <c r="L64"/>
  <c r="L63"/>
  <c r="G63"/>
  <c r="L62"/>
  <c r="G62"/>
  <c r="L61"/>
  <c r="G61"/>
  <c r="L60"/>
  <c r="K60"/>
  <c r="G60"/>
  <c r="L59"/>
  <c r="K59"/>
  <c r="L58"/>
  <c r="G58"/>
  <c r="K57"/>
  <c r="L57" s="1"/>
  <c r="G57"/>
  <c r="K56"/>
  <c r="L56" s="1"/>
  <c r="G56"/>
  <c r="L55"/>
  <c r="G55"/>
  <c r="L54"/>
  <c r="G54"/>
  <c r="L53"/>
  <c r="G53"/>
  <c r="L52"/>
  <c r="G52"/>
  <c r="L51"/>
  <c r="G51"/>
  <c r="L50"/>
  <c r="G50"/>
  <c r="L49"/>
  <c r="G49"/>
  <c r="L48"/>
  <c r="L47"/>
  <c r="L46"/>
  <c r="G46"/>
  <c r="K45"/>
  <c r="L45" s="1"/>
  <c r="G45"/>
  <c r="F45"/>
  <c r="L44"/>
  <c r="G44"/>
  <c r="L43"/>
  <c r="G43"/>
  <c r="L42"/>
  <c r="G42"/>
  <c r="L41"/>
  <c r="L40"/>
  <c r="F40"/>
  <c r="L39"/>
  <c r="L38"/>
  <c r="G38"/>
  <c r="I38" s="1"/>
  <c r="K37"/>
  <c r="G37"/>
  <c r="F37"/>
  <c r="G36"/>
  <c r="F36"/>
  <c r="K35"/>
  <c r="L35" s="1"/>
  <c r="G35"/>
  <c r="F35"/>
  <c r="L34"/>
  <c r="G34"/>
  <c r="K33"/>
  <c r="L33" s="1"/>
  <c r="F33"/>
  <c r="K32"/>
  <c r="L32" s="1"/>
  <c r="G32"/>
  <c r="L31"/>
  <c r="L30"/>
  <c r="G30"/>
  <c r="L29"/>
  <c r="G29"/>
  <c r="L28"/>
  <c r="G28"/>
  <c r="L27"/>
  <c r="G27"/>
  <c r="L26"/>
  <c r="G26"/>
  <c r="L25"/>
  <c r="G25"/>
  <c r="L24"/>
  <c r="L23"/>
  <c r="G23"/>
  <c r="L22"/>
  <c r="G22"/>
  <c r="J21"/>
  <c r="L21" s="1"/>
  <c r="G21"/>
  <c r="L20"/>
  <c r="G20"/>
  <c r="L19"/>
  <c r="G19"/>
  <c r="L18"/>
  <c r="G18"/>
  <c r="L17"/>
  <c r="G17"/>
  <c r="L16"/>
  <c r="H16"/>
  <c r="G16"/>
  <c r="L15"/>
  <c r="G15"/>
  <c r="L14"/>
  <c r="G14"/>
  <c r="L13"/>
  <c r="G13"/>
  <c r="J12"/>
  <c r="L12" s="1"/>
  <c r="G12"/>
  <c r="L11"/>
  <c r="G11"/>
  <c r="L10"/>
  <c r="G10"/>
  <c r="L9"/>
  <c r="G9"/>
  <c r="F9"/>
  <c r="L8"/>
  <c r="G8"/>
  <c r="L7"/>
  <c r="G7"/>
  <c r="F7"/>
  <c r="L6"/>
  <c r="L5"/>
  <c r="L4"/>
  <c r="I4"/>
  <c r="G4"/>
  <c r="L3"/>
  <c r="L2"/>
  <c r="I2"/>
  <c r="G105" i="63"/>
  <c r="I36" i="68" l="1"/>
  <c r="I36" i="66"/>
  <c r="I37"/>
  <c r="J37" i="67"/>
  <c r="I37" i="68"/>
  <c r="M105" i="67"/>
  <c r="J36"/>
  <c r="L105" i="68"/>
  <c r="L105" i="66"/>
  <c r="L105" i="65"/>
  <c r="I36"/>
  <c r="I37"/>
  <c r="L104" i="63" l="1"/>
  <c r="G104"/>
  <c r="L103"/>
  <c r="G103"/>
  <c r="L89" i="64"/>
  <c r="L110" i="63" l="1"/>
  <c r="L100"/>
  <c r="L99"/>
  <c r="L98"/>
  <c r="L97"/>
  <c r="L96"/>
  <c r="L95"/>
  <c r="G99" i="64"/>
  <c r="G98"/>
  <c r="G97"/>
  <c r="G95"/>
  <c r="G94"/>
  <c r="L93"/>
  <c r="G93"/>
  <c r="L92"/>
  <c r="G92"/>
  <c r="L91"/>
  <c r="G91"/>
  <c r="L90"/>
  <c r="K90"/>
  <c r="G89"/>
  <c r="L88"/>
  <c r="G88"/>
  <c r="L87"/>
  <c r="G87"/>
  <c r="L86"/>
  <c r="G86"/>
  <c r="L85"/>
  <c r="G85"/>
  <c r="L84"/>
  <c r="G84"/>
  <c r="L83"/>
  <c r="G83"/>
  <c r="L82"/>
  <c r="G82"/>
  <c r="L81"/>
  <c r="G81"/>
  <c r="L80"/>
  <c r="G80"/>
  <c r="L79"/>
  <c r="H79"/>
  <c r="G79"/>
  <c r="L78"/>
  <c r="H78"/>
  <c r="G78"/>
  <c r="L77"/>
  <c r="G77"/>
  <c r="L76"/>
  <c r="G76"/>
  <c r="L75"/>
  <c r="G75"/>
  <c r="L74"/>
  <c r="G74"/>
  <c r="L73"/>
  <c r="G73"/>
  <c r="L72"/>
  <c r="G72"/>
  <c r="L71"/>
  <c r="G71"/>
  <c r="L70"/>
  <c r="G70"/>
  <c r="L69"/>
  <c r="G69"/>
  <c r="K68"/>
  <c r="L68" s="1"/>
  <c r="G68"/>
  <c r="K67"/>
  <c r="L67" s="1"/>
  <c r="G67"/>
  <c r="L66"/>
  <c r="G66"/>
  <c r="L65"/>
  <c r="L64"/>
  <c r="G64"/>
  <c r="L63"/>
  <c r="G63"/>
  <c r="L62"/>
  <c r="G62"/>
  <c r="L61"/>
  <c r="K61"/>
  <c r="G61"/>
  <c r="L60"/>
  <c r="K60"/>
  <c r="L59"/>
  <c r="G59"/>
  <c r="K58"/>
  <c r="L58" s="1"/>
  <c r="G58"/>
  <c r="K57"/>
  <c r="L57" s="1"/>
  <c r="G57"/>
  <c r="L56"/>
  <c r="G56"/>
  <c r="L55"/>
  <c r="G55"/>
  <c r="L54"/>
  <c r="G54"/>
  <c r="L53"/>
  <c r="G53"/>
  <c r="L52"/>
  <c r="G52"/>
  <c r="L51"/>
  <c r="G51"/>
  <c r="L50"/>
  <c r="G50"/>
  <c r="L49"/>
  <c r="L48"/>
  <c r="L47"/>
  <c r="G47"/>
  <c r="K46"/>
  <c r="L46" s="1"/>
  <c r="G46"/>
  <c r="F46"/>
  <c r="L45"/>
  <c r="G45"/>
  <c r="L44"/>
  <c r="G44"/>
  <c r="L43"/>
  <c r="G43"/>
  <c r="L42"/>
  <c r="L41"/>
  <c r="F41"/>
  <c r="L40"/>
  <c r="L39"/>
  <c r="G39"/>
  <c r="I39" s="1"/>
  <c r="K38"/>
  <c r="G38"/>
  <c r="F38"/>
  <c r="G37"/>
  <c r="F37"/>
  <c r="K36"/>
  <c r="L36" s="1"/>
  <c r="G36"/>
  <c r="F36"/>
  <c r="L35"/>
  <c r="G35"/>
  <c r="K34"/>
  <c r="L34" s="1"/>
  <c r="F34"/>
  <c r="K33"/>
  <c r="L33" s="1"/>
  <c r="G33"/>
  <c r="L32"/>
  <c r="L31"/>
  <c r="G31"/>
  <c r="L30"/>
  <c r="G30"/>
  <c r="L29"/>
  <c r="G29"/>
  <c r="L28"/>
  <c r="G28"/>
  <c r="L27"/>
  <c r="G27"/>
  <c r="L26"/>
  <c r="G26"/>
  <c r="L25"/>
  <c r="L24"/>
  <c r="G24"/>
  <c r="L23"/>
  <c r="G23"/>
  <c r="J22"/>
  <c r="L22" s="1"/>
  <c r="G22"/>
  <c r="L21"/>
  <c r="G21"/>
  <c r="L20"/>
  <c r="G20"/>
  <c r="L19"/>
  <c r="G19"/>
  <c r="L18"/>
  <c r="G18"/>
  <c r="L17"/>
  <c r="H17"/>
  <c r="G17"/>
  <c r="L16"/>
  <c r="G16"/>
  <c r="L15"/>
  <c r="G15"/>
  <c r="L14"/>
  <c r="G14"/>
  <c r="J13"/>
  <c r="L13" s="1"/>
  <c r="G13"/>
  <c r="L12"/>
  <c r="G12"/>
  <c r="L11"/>
  <c r="G11"/>
  <c r="L10"/>
  <c r="G10"/>
  <c r="F10"/>
  <c r="L9"/>
  <c r="G9"/>
  <c r="L8"/>
  <c r="G8"/>
  <c r="F8"/>
  <c r="L7"/>
  <c r="L6"/>
  <c r="L5"/>
  <c r="I5"/>
  <c r="G5"/>
  <c r="L4"/>
  <c r="L3"/>
  <c r="G3"/>
  <c r="I3" s="1"/>
  <c r="L2"/>
  <c r="I2"/>
  <c r="G100" i="63"/>
  <c r="G99"/>
  <c r="G98"/>
  <c r="G96"/>
  <c r="G95"/>
  <c r="L94"/>
  <c r="G94"/>
  <c r="L93"/>
  <c r="G93"/>
  <c r="L92"/>
  <c r="G92"/>
  <c r="L91"/>
  <c r="K91"/>
  <c r="L90"/>
  <c r="G90"/>
  <c r="L89"/>
  <c r="G89"/>
  <c r="L88"/>
  <c r="G88"/>
  <c r="L87"/>
  <c r="G87"/>
  <c r="L86"/>
  <c r="G86"/>
  <c r="L85"/>
  <c r="G85"/>
  <c r="L84"/>
  <c r="G84"/>
  <c r="L83"/>
  <c r="G83"/>
  <c r="L82"/>
  <c r="G82"/>
  <c r="L81"/>
  <c r="G81"/>
  <c r="L80"/>
  <c r="H80"/>
  <c r="G80"/>
  <c r="L79"/>
  <c r="H79"/>
  <c r="G79"/>
  <c r="L78"/>
  <c r="G78"/>
  <c r="L77"/>
  <c r="G77"/>
  <c r="L76"/>
  <c r="G76"/>
  <c r="L75"/>
  <c r="G75"/>
  <c r="L74"/>
  <c r="G74"/>
  <c r="L73"/>
  <c r="G73"/>
  <c r="L72"/>
  <c r="G72"/>
  <c r="L71"/>
  <c r="G71"/>
  <c r="L70"/>
  <c r="G70"/>
  <c r="K69"/>
  <c r="L69" s="1"/>
  <c r="G69"/>
  <c r="K68"/>
  <c r="L68" s="1"/>
  <c r="G68"/>
  <c r="L67"/>
  <c r="G67"/>
  <c r="L66"/>
  <c r="L65"/>
  <c r="G65"/>
  <c r="L64"/>
  <c r="G64"/>
  <c r="L63"/>
  <c r="G63"/>
  <c r="L62"/>
  <c r="K62"/>
  <c r="G62"/>
  <c r="L61"/>
  <c r="K61"/>
  <c r="L60"/>
  <c r="G60"/>
  <c r="K59"/>
  <c r="L59" s="1"/>
  <c r="G59"/>
  <c r="K58"/>
  <c r="L58" s="1"/>
  <c r="G58"/>
  <c r="L57"/>
  <c r="G57"/>
  <c r="L56"/>
  <c r="G56"/>
  <c r="L55"/>
  <c r="G55"/>
  <c r="L54"/>
  <c r="G54"/>
  <c r="L53"/>
  <c r="G53"/>
  <c r="L52"/>
  <c r="G52"/>
  <c r="L51"/>
  <c r="G51"/>
  <c r="L50"/>
  <c r="L49"/>
  <c r="L48"/>
  <c r="G48"/>
  <c r="K47"/>
  <c r="L47" s="1"/>
  <c r="G47"/>
  <c r="F47"/>
  <c r="L46"/>
  <c r="G46"/>
  <c r="L45"/>
  <c r="G45"/>
  <c r="L44"/>
  <c r="G44"/>
  <c r="L43"/>
  <c r="L42"/>
  <c r="F42"/>
  <c r="L41"/>
  <c r="L40"/>
  <c r="G40"/>
  <c r="I40" s="1"/>
  <c r="K39"/>
  <c r="G39"/>
  <c r="F39"/>
  <c r="G38"/>
  <c r="F38"/>
  <c r="K37"/>
  <c r="L37" s="1"/>
  <c r="G37"/>
  <c r="F37"/>
  <c r="L36"/>
  <c r="G36"/>
  <c r="K35"/>
  <c r="L35" s="1"/>
  <c r="F35"/>
  <c r="K34"/>
  <c r="L34" s="1"/>
  <c r="G34"/>
  <c r="L33"/>
  <c r="L32"/>
  <c r="G32"/>
  <c r="L31"/>
  <c r="G31"/>
  <c r="L30"/>
  <c r="G30"/>
  <c r="L29"/>
  <c r="G29"/>
  <c r="L28"/>
  <c r="G28"/>
  <c r="L27"/>
  <c r="G27"/>
  <c r="L26"/>
  <c r="L25"/>
  <c r="G25"/>
  <c r="L24"/>
  <c r="G24"/>
  <c r="J23"/>
  <c r="L23" s="1"/>
  <c r="G23"/>
  <c r="L22"/>
  <c r="G22"/>
  <c r="L21"/>
  <c r="G21"/>
  <c r="L20"/>
  <c r="G20"/>
  <c r="L19"/>
  <c r="G19"/>
  <c r="L18"/>
  <c r="G18"/>
  <c r="L17"/>
  <c r="H17"/>
  <c r="G17"/>
  <c r="L16"/>
  <c r="G16"/>
  <c r="L15"/>
  <c r="G15"/>
  <c r="L14"/>
  <c r="G14"/>
  <c r="J13"/>
  <c r="L13" s="1"/>
  <c r="G13"/>
  <c r="L12"/>
  <c r="G12"/>
  <c r="L11"/>
  <c r="G11"/>
  <c r="L10"/>
  <c r="G10"/>
  <c r="F10"/>
  <c r="L9"/>
  <c r="G9"/>
  <c r="L8"/>
  <c r="G8"/>
  <c r="F8"/>
  <c r="L7"/>
  <c r="L6"/>
  <c r="L5"/>
  <c r="I5"/>
  <c r="G5"/>
  <c r="L4"/>
  <c r="L3"/>
  <c r="G3"/>
  <c r="I3" s="1"/>
  <c r="L2"/>
  <c r="I2"/>
  <c r="L102" i="62"/>
  <c r="L101"/>
  <c r="L94"/>
  <c r="L94" i="61"/>
  <c r="L92" i="62"/>
  <c r="L92" i="61"/>
  <c r="L87" i="62"/>
  <c r="L87" i="61"/>
  <c r="L87" i="60"/>
  <c r="L86"/>
  <c r="L85" i="62"/>
  <c r="L85" i="61"/>
  <c r="L90" i="60"/>
  <c r="L85"/>
  <c r="I38" i="63" l="1"/>
  <c r="I39"/>
  <c r="I37" i="64"/>
  <c r="L103"/>
  <c r="L106" i="63"/>
  <c r="I38" i="64"/>
  <c r="G100" i="62"/>
  <c r="L100"/>
  <c r="L99"/>
  <c r="G99"/>
  <c r="G98"/>
  <c r="L98"/>
  <c r="L97" l="1"/>
  <c r="G96"/>
  <c r="L96"/>
  <c r="G95"/>
  <c r="L95"/>
  <c r="L93"/>
  <c r="G94"/>
  <c r="G93"/>
  <c r="G92"/>
  <c r="L91"/>
  <c r="K91"/>
  <c r="L90"/>
  <c r="G90"/>
  <c r="L89"/>
  <c r="G89"/>
  <c r="L88"/>
  <c r="G88"/>
  <c r="G87"/>
  <c r="L86"/>
  <c r="G86"/>
  <c r="G85"/>
  <c r="L84"/>
  <c r="G84"/>
  <c r="L83"/>
  <c r="G83"/>
  <c r="L82"/>
  <c r="G82"/>
  <c r="L81"/>
  <c r="G81"/>
  <c r="L80"/>
  <c r="H80"/>
  <c r="G80"/>
  <c r="L79"/>
  <c r="H79"/>
  <c r="G79"/>
  <c r="L78"/>
  <c r="G78"/>
  <c r="L77"/>
  <c r="G77"/>
  <c r="L76"/>
  <c r="G76"/>
  <c r="L75"/>
  <c r="G75"/>
  <c r="L74"/>
  <c r="G74"/>
  <c r="L73"/>
  <c r="G73"/>
  <c r="L72"/>
  <c r="G72"/>
  <c r="L71"/>
  <c r="G71"/>
  <c r="L70"/>
  <c r="G70"/>
  <c r="K69"/>
  <c r="L69" s="1"/>
  <c r="G69"/>
  <c r="K68"/>
  <c r="L68" s="1"/>
  <c r="G68"/>
  <c r="L67"/>
  <c r="G67"/>
  <c r="L66"/>
  <c r="L65"/>
  <c r="G65"/>
  <c r="L64"/>
  <c r="G64"/>
  <c r="L63"/>
  <c r="G63"/>
  <c r="L62"/>
  <c r="K62"/>
  <c r="G62"/>
  <c r="L61"/>
  <c r="K61"/>
  <c r="L60"/>
  <c r="G60"/>
  <c r="K59"/>
  <c r="L59" s="1"/>
  <c r="G59"/>
  <c r="K58"/>
  <c r="L58" s="1"/>
  <c r="G58"/>
  <c r="L57"/>
  <c r="G57"/>
  <c r="L56"/>
  <c r="G56"/>
  <c r="L55"/>
  <c r="G55"/>
  <c r="L54"/>
  <c r="G54"/>
  <c r="L53"/>
  <c r="G53"/>
  <c r="L52"/>
  <c r="G52"/>
  <c r="L51"/>
  <c r="G51"/>
  <c r="L50"/>
  <c r="L49"/>
  <c r="L48"/>
  <c r="G48"/>
  <c r="K47"/>
  <c r="L47" s="1"/>
  <c r="G47"/>
  <c r="F47"/>
  <c r="L46"/>
  <c r="G46"/>
  <c r="L45"/>
  <c r="G45"/>
  <c r="L44"/>
  <c r="G44"/>
  <c r="L43"/>
  <c r="L42"/>
  <c r="F42"/>
  <c r="L41"/>
  <c r="L40"/>
  <c r="G40"/>
  <c r="I40" s="1"/>
  <c r="K39"/>
  <c r="G39"/>
  <c r="F39"/>
  <c r="G38"/>
  <c r="F38"/>
  <c r="K37"/>
  <c r="L37" s="1"/>
  <c r="G37"/>
  <c r="F37"/>
  <c r="L36"/>
  <c r="G36"/>
  <c r="K35"/>
  <c r="L35" s="1"/>
  <c r="F35"/>
  <c r="K34"/>
  <c r="L34" s="1"/>
  <c r="G34"/>
  <c r="L33"/>
  <c r="L32"/>
  <c r="G32"/>
  <c r="L31"/>
  <c r="G31"/>
  <c r="L30"/>
  <c r="G30"/>
  <c r="L29"/>
  <c r="G29"/>
  <c r="L28"/>
  <c r="G28"/>
  <c r="L27"/>
  <c r="G27"/>
  <c r="L26"/>
  <c r="L25"/>
  <c r="G25"/>
  <c r="L24"/>
  <c r="G24"/>
  <c r="J23"/>
  <c r="L23" s="1"/>
  <c r="G23"/>
  <c r="L22"/>
  <c r="G22"/>
  <c r="L21"/>
  <c r="G21"/>
  <c r="L20"/>
  <c r="G20"/>
  <c r="L19"/>
  <c r="G19"/>
  <c r="L18"/>
  <c r="G18"/>
  <c r="L17"/>
  <c r="H17"/>
  <c r="G17"/>
  <c r="L16"/>
  <c r="G16"/>
  <c r="L15"/>
  <c r="G15"/>
  <c r="L14"/>
  <c r="G14"/>
  <c r="J13"/>
  <c r="L13" s="1"/>
  <c r="G13"/>
  <c r="L12"/>
  <c r="G12"/>
  <c r="L11"/>
  <c r="G11"/>
  <c r="L10"/>
  <c r="G10"/>
  <c r="F10"/>
  <c r="L9"/>
  <c r="G9"/>
  <c r="L8"/>
  <c r="G8"/>
  <c r="F8"/>
  <c r="L7"/>
  <c r="L6"/>
  <c r="L5"/>
  <c r="I5"/>
  <c r="G5"/>
  <c r="L4"/>
  <c r="L3"/>
  <c r="G3"/>
  <c r="I3" s="1"/>
  <c r="L2"/>
  <c r="I2"/>
  <c r="G94" i="61"/>
  <c r="G91" i="60"/>
  <c r="G93" i="61"/>
  <c r="G92"/>
  <c r="L91" i="60"/>
  <c r="L91" i="61"/>
  <c r="K91"/>
  <c r="L93"/>
  <c r="L90"/>
  <c r="G90"/>
  <c r="L89"/>
  <c r="G89"/>
  <c r="L88"/>
  <c r="G88"/>
  <c r="G87"/>
  <c r="L86"/>
  <c r="G86"/>
  <c r="G85"/>
  <c r="L84"/>
  <c r="G84"/>
  <c r="L83"/>
  <c r="G83"/>
  <c r="L82"/>
  <c r="G82"/>
  <c r="L81"/>
  <c r="G81"/>
  <c r="L80"/>
  <c r="H80"/>
  <c r="G80"/>
  <c r="L79"/>
  <c r="H79"/>
  <c r="G79"/>
  <c r="L78"/>
  <c r="G78"/>
  <c r="L77"/>
  <c r="G77"/>
  <c r="L76"/>
  <c r="G76"/>
  <c r="L75"/>
  <c r="G75"/>
  <c r="L74"/>
  <c r="G74"/>
  <c r="L73"/>
  <c r="G73"/>
  <c r="L72"/>
  <c r="G72"/>
  <c r="L71"/>
  <c r="G71"/>
  <c r="L70"/>
  <c r="G70"/>
  <c r="K69"/>
  <c r="L69" s="1"/>
  <c r="G69"/>
  <c r="K68"/>
  <c r="L68" s="1"/>
  <c r="G68"/>
  <c r="L67"/>
  <c r="G67"/>
  <c r="L66"/>
  <c r="L65"/>
  <c r="G65"/>
  <c r="L64"/>
  <c r="G64"/>
  <c r="L63"/>
  <c r="G63"/>
  <c r="L62"/>
  <c r="K62"/>
  <c r="G62"/>
  <c r="L61"/>
  <c r="K61"/>
  <c r="L60"/>
  <c r="G60"/>
  <c r="K59"/>
  <c r="L59" s="1"/>
  <c r="G59"/>
  <c r="K58"/>
  <c r="L58" s="1"/>
  <c r="G58"/>
  <c r="L57"/>
  <c r="G57"/>
  <c r="L56"/>
  <c r="G56"/>
  <c r="L55"/>
  <c r="G55"/>
  <c r="L54"/>
  <c r="G54"/>
  <c r="L53"/>
  <c r="G53"/>
  <c r="L52"/>
  <c r="G52"/>
  <c r="L51"/>
  <c r="G51"/>
  <c r="L50"/>
  <c r="L49"/>
  <c r="L48"/>
  <c r="G48"/>
  <c r="K47"/>
  <c r="L47" s="1"/>
  <c r="G47"/>
  <c r="F47"/>
  <c r="L46"/>
  <c r="G46"/>
  <c r="L45"/>
  <c r="G45"/>
  <c r="L44"/>
  <c r="G44"/>
  <c r="L43"/>
  <c r="L42"/>
  <c r="F42"/>
  <c r="L41"/>
  <c r="L40"/>
  <c r="G40"/>
  <c r="I40" s="1"/>
  <c r="K39"/>
  <c r="G39"/>
  <c r="F39"/>
  <c r="G38"/>
  <c r="F38"/>
  <c r="K37"/>
  <c r="L37" s="1"/>
  <c r="G37"/>
  <c r="F37"/>
  <c r="L36"/>
  <c r="G36"/>
  <c r="K35"/>
  <c r="L35" s="1"/>
  <c r="F35"/>
  <c r="K34"/>
  <c r="L34" s="1"/>
  <c r="G34"/>
  <c r="L33"/>
  <c r="L32"/>
  <c r="G32"/>
  <c r="L31"/>
  <c r="G31"/>
  <c r="L30"/>
  <c r="G30"/>
  <c r="L29"/>
  <c r="G29"/>
  <c r="L28"/>
  <c r="G28"/>
  <c r="L27"/>
  <c r="G27"/>
  <c r="L26"/>
  <c r="L25"/>
  <c r="G25"/>
  <c r="L24"/>
  <c r="G24"/>
  <c r="J23"/>
  <c r="L23" s="1"/>
  <c r="G23"/>
  <c r="L22"/>
  <c r="G22"/>
  <c r="L21"/>
  <c r="G21"/>
  <c r="L20"/>
  <c r="G20"/>
  <c r="L19"/>
  <c r="G19"/>
  <c r="L18"/>
  <c r="G18"/>
  <c r="L17"/>
  <c r="H17"/>
  <c r="G17"/>
  <c r="L16"/>
  <c r="G16"/>
  <c r="L15"/>
  <c r="G15"/>
  <c r="L14"/>
  <c r="G14"/>
  <c r="J13"/>
  <c r="L13" s="1"/>
  <c r="G13"/>
  <c r="L12"/>
  <c r="G12"/>
  <c r="L11"/>
  <c r="G11"/>
  <c r="L10"/>
  <c r="G10"/>
  <c r="F10"/>
  <c r="L9"/>
  <c r="G9"/>
  <c r="L8"/>
  <c r="G8"/>
  <c r="F8"/>
  <c r="L7"/>
  <c r="L6"/>
  <c r="L5"/>
  <c r="I5"/>
  <c r="G5"/>
  <c r="L4"/>
  <c r="L3"/>
  <c r="G3"/>
  <c r="I3" s="1"/>
  <c r="L2"/>
  <c r="I2"/>
  <c r="L64" i="60"/>
  <c r="L70"/>
  <c r="L71"/>
  <c r="L74"/>
  <c r="L77"/>
  <c r="I38" i="62" l="1"/>
  <c r="L95" i="61"/>
  <c r="L103" i="62"/>
  <c r="I39" i="61"/>
  <c r="I39" i="62"/>
  <c r="I38" i="61"/>
  <c r="G90" i="60"/>
  <c r="G89"/>
  <c r="L89" l="1"/>
  <c r="L88"/>
  <c r="G88"/>
  <c r="G87"/>
  <c r="G85"/>
  <c r="G86"/>
  <c r="L84"/>
  <c r="G84"/>
  <c r="L82"/>
  <c r="G82"/>
  <c r="L83"/>
  <c r="G83"/>
  <c r="L81"/>
  <c r="G81"/>
  <c r="L80"/>
  <c r="H80"/>
  <c r="G80"/>
  <c r="L79"/>
  <c r="H79"/>
  <c r="G79"/>
  <c r="L78"/>
  <c r="G78"/>
  <c r="G77"/>
  <c r="L76"/>
  <c r="G76"/>
  <c r="G70"/>
  <c r="G74"/>
  <c r="L73"/>
  <c r="G73"/>
  <c r="L75"/>
  <c r="G75"/>
  <c r="L72"/>
  <c r="G72"/>
  <c r="G71"/>
  <c r="K69"/>
  <c r="L69" s="1"/>
  <c r="G69"/>
  <c r="L65"/>
  <c r="G65"/>
  <c r="K68"/>
  <c r="L68" s="1"/>
  <c r="G68"/>
  <c r="L67"/>
  <c r="G67"/>
  <c r="L66"/>
  <c r="G64"/>
  <c r="L62"/>
  <c r="K62"/>
  <c r="G62"/>
  <c r="L63"/>
  <c r="G63"/>
  <c r="L61"/>
  <c r="K61"/>
  <c r="K59"/>
  <c r="L59" s="1"/>
  <c r="G59"/>
  <c r="K58"/>
  <c r="L58" s="1"/>
  <c r="G58"/>
  <c r="L60"/>
  <c r="G60"/>
  <c r="L57"/>
  <c r="G57"/>
  <c r="L49"/>
  <c r="L52"/>
  <c r="G52"/>
  <c r="L51"/>
  <c r="G51"/>
  <c r="L54"/>
  <c r="G54"/>
  <c r="L55"/>
  <c r="G55"/>
  <c r="L50"/>
  <c r="L56"/>
  <c r="G56"/>
  <c r="L53"/>
  <c r="G53"/>
  <c r="L48"/>
  <c r="G48"/>
  <c r="K47"/>
  <c r="L47" s="1"/>
  <c r="G47"/>
  <c r="F47"/>
  <c r="L46"/>
  <c r="G46"/>
  <c r="L45"/>
  <c r="G45"/>
  <c r="L44"/>
  <c r="G44"/>
  <c r="L43"/>
  <c r="L42"/>
  <c r="F42"/>
  <c r="L41"/>
  <c r="L40"/>
  <c r="G40"/>
  <c r="I40" s="1"/>
  <c r="K39"/>
  <c r="G39"/>
  <c r="F39"/>
  <c r="G38"/>
  <c r="F38"/>
  <c r="K37"/>
  <c r="L37" s="1"/>
  <c r="G37"/>
  <c r="F37"/>
  <c r="L36"/>
  <c r="G36"/>
  <c r="K34"/>
  <c r="L34" s="1"/>
  <c r="G34"/>
  <c r="K35"/>
  <c r="L35" s="1"/>
  <c r="F35"/>
  <c r="L33"/>
  <c r="L32"/>
  <c r="G32"/>
  <c r="L20"/>
  <c r="G20"/>
  <c r="L31"/>
  <c r="G31"/>
  <c r="L29"/>
  <c r="G29"/>
  <c r="L28"/>
  <c r="G28"/>
  <c r="L30"/>
  <c r="G30"/>
  <c r="L27"/>
  <c r="G27"/>
  <c r="L25"/>
  <c r="G25"/>
  <c r="L24"/>
  <c r="G24"/>
  <c r="L26"/>
  <c r="J23"/>
  <c r="L23" s="1"/>
  <c r="G23"/>
  <c r="L22"/>
  <c r="G22"/>
  <c r="L21"/>
  <c r="G21"/>
  <c r="L19"/>
  <c r="G19"/>
  <c r="L18"/>
  <c r="G18"/>
  <c r="L17"/>
  <c r="H17"/>
  <c r="G17"/>
  <c r="L16"/>
  <c r="G16"/>
  <c r="L15"/>
  <c r="G15"/>
  <c r="J13"/>
  <c r="L13" s="1"/>
  <c r="G13"/>
  <c r="L14"/>
  <c r="G14"/>
  <c r="L12"/>
  <c r="G12"/>
  <c r="L11"/>
  <c r="G11"/>
  <c r="L10"/>
  <c r="G10"/>
  <c r="F10"/>
  <c r="L9"/>
  <c r="G9"/>
  <c r="L8"/>
  <c r="G8"/>
  <c r="F8"/>
  <c r="L6"/>
  <c r="L7"/>
  <c r="L4"/>
  <c r="L5"/>
  <c r="I5"/>
  <c r="G5"/>
  <c r="L2"/>
  <c r="I2"/>
  <c r="L3"/>
  <c r="G3"/>
  <c r="I3" s="1"/>
  <c r="F101" i="59"/>
  <c r="K101"/>
  <c r="K100"/>
  <c r="K99"/>
  <c r="K98"/>
  <c r="K97"/>
  <c r="F100"/>
  <c r="F99"/>
  <c r="F98"/>
  <c r="F97"/>
  <c r="K96"/>
  <c r="F96"/>
  <c r="K95"/>
  <c r="F95"/>
  <c r="K94"/>
  <c r="F94"/>
  <c r="K93"/>
  <c r="G93"/>
  <c r="F93"/>
  <c r="K92"/>
  <c r="G92"/>
  <c r="F92"/>
  <c r="K91"/>
  <c r="F91"/>
  <c r="K90"/>
  <c r="F90"/>
  <c r="K89"/>
  <c r="F89"/>
  <c r="K88"/>
  <c r="F88"/>
  <c r="K87"/>
  <c r="F87"/>
  <c r="K86"/>
  <c r="F86"/>
  <c r="K85"/>
  <c r="F85"/>
  <c r="K84"/>
  <c r="F84"/>
  <c r="K83"/>
  <c r="F83"/>
  <c r="J82"/>
  <c r="K82" s="1"/>
  <c r="F82"/>
  <c r="K81"/>
  <c r="F81"/>
  <c r="J80"/>
  <c r="K80" s="1"/>
  <c r="F80"/>
  <c r="K79"/>
  <c r="F79"/>
  <c r="K78"/>
  <c r="K77"/>
  <c r="F77"/>
  <c r="F76"/>
  <c r="K75"/>
  <c r="J75"/>
  <c r="F75"/>
  <c r="K74"/>
  <c r="F74"/>
  <c r="K73"/>
  <c r="J73"/>
  <c r="J72"/>
  <c r="K72" s="1"/>
  <c r="F72"/>
  <c r="J71"/>
  <c r="K71" s="1"/>
  <c r="F71"/>
  <c r="K70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F29"/>
  <c r="K28"/>
  <c r="F28"/>
  <c r="K27"/>
  <c r="F27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F5"/>
  <c r="K4"/>
  <c r="H4"/>
  <c r="K3"/>
  <c r="F3"/>
  <c r="H3" s="1"/>
  <c r="J2"/>
  <c r="F2" s="1"/>
  <c r="H2" s="1"/>
  <c r="I2"/>
  <c r="K96" i="58"/>
  <c r="K95"/>
  <c r="F97"/>
  <c r="K97"/>
  <c r="F98"/>
  <c r="K98"/>
  <c r="F99"/>
  <c r="K99"/>
  <c r="F100"/>
  <c r="K100"/>
  <c r="K95" i="57"/>
  <c r="K96"/>
  <c r="F96" i="58"/>
  <c r="F95"/>
  <c r="K94"/>
  <c r="F94"/>
  <c r="K93"/>
  <c r="G93"/>
  <c r="F93"/>
  <c r="K92"/>
  <c r="G92"/>
  <c r="F92"/>
  <c r="K91"/>
  <c r="F91"/>
  <c r="K90"/>
  <c r="F90"/>
  <c r="K89"/>
  <c r="F89"/>
  <c r="K88"/>
  <c r="F88"/>
  <c r="K87"/>
  <c r="F87"/>
  <c r="K86"/>
  <c r="F86"/>
  <c r="K85"/>
  <c r="F85"/>
  <c r="K84"/>
  <c r="F84"/>
  <c r="K83"/>
  <c r="F83"/>
  <c r="J82"/>
  <c r="K82" s="1"/>
  <c r="F82"/>
  <c r="K81"/>
  <c r="F81"/>
  <c r="J80"/>
  <c r="K80" s="1"/>
  <c r="F80"/>
  <c r="K79"/>
  <c r="F79"/>
  <c r="K78"/>
  <c r="K77"/>
  <c r="F77"/>
  <c r="F76"/>
  <c r="K75"/>
  <c r="J75"/>
  <c r="F75"/>
  <c r="K74"/>
  <c r="F74"/>
  <c r="K73"/>
  <c r="J73"/>
  <c r="J72"/>
  <c r="K72" s="1"/>
  <c r="F72"/>
  <c r="J71"/>
  <c r="K71" s="1"/>
  <c r="F71"/>
  <c r="K70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F29"/>
  <c r="K28"/>
  <c r="F28"/>
  <c r="K27"/>
  <c r="F27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F5"/>
  <c r="K4"/>
  <c r="H4"/>
  <c r="K3"/>
  <c r="F3"/>
  <c r="H3" s="1"/>
  <c r="J2"/>
  <c r="F2" s="1"/>
  <c r="H2" s="1"/>
  <c r="I2"/>
  <c r="H51" l="1"/>
  <c r="L92" i="60"/>
  <c r="H50" i="59"/>
  <c r="I38" i="60"/>
  <c r="K101" i="58"/>
  <c r="K102" i="59"/>
  <c r="H51"/>
  <c r="I39" i="60"/>
  <c r="H50" i="58"/>
  <c r="K83" i="57"/>
  <c r="F96"/>
  <c r="F95"/>
  <c r="K94"/>
  <c r="F94"/>
  <c r="K93"/>
  <c r="G93"/>
  <c r="F93"/>
  <c r="K92"/>
  <c r="G92"/>
  <c r="F92"/>
  <c r="K91"/>
  <c r="F91"/>
  <c r="K90"/>
  <c r="F90"/>
  <c r="K89"/>
  <c r="F89"/>
  <c r="K88"/>
  <c r="F88"/>
  <c r="K87"/>
  <c r="F87"/>
  <c r="K86"/>
  <c r="F86"/>
  <c r="K85"/>
  <c r="F85"/>
  <c r="K84"/>
  <c r="F84"/>
  <c r="F83"/>
  <c r="J82"/>
  <c r="K82" s="1"/>
  <c r="F82"/>
  <c r="K81"/>
  <c r="F81"/>
  <c r="J80"/>
  <c r="K80" s="1"/>
  <c r="F80"/>
  <c r="K79"/>
  <c r="F79"/>
  <c r="K78"/>
  <c r="K77"/>
  <c r="F77"/>
  <c r="F76"/>
  <c r="K75"/>
  <c r="J75"/>
  <c r="F75"/>
  <c r="K74"/>
  <c r="F74"/>
  <c r="K73"/>
  <c r="J73"/>
  <c r="J72"/>
  <c r="K72" s="1"/>
  <c r="F72"/>
  <c r="J71"/>
  <c r="K71" s="1"/>
  <c r="F71"/>
  <c r="K70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F5"/>
  <c r="K4"/>
  <c r="H4"/>
  <c r="K3"/>
  <c r="F3"/>
  <c r="H3" s="1"/>
  <c r="J2"/>
  <c r="F2" s="1"/>
  <c r="H2" s="1"/>
  <c r="I2"/>
  <c r="K77" i="56"/>
  <c r="K97" i="57" l="1"/>
  <c r="H51"/>
  <c r="H50"/>
  <c r="K94" i="56"/>
  <c r="F94"/>
  <c r="K93"/>
  <c r="G93"/>
  <c r="F93"/>
  <c r="K92"/>
  <c r="G92"/>
  <c r="F92"/>
  <c r="K91"/>
  <c r="F91"/>
  <c r="K90"/>
  <c r="F90"/>
  <c r="K89"/>
  <c r="F89"/>
  <c r="K88"/>
  <c r="F88"/>
  <c r="K87"/>
  <c r="F87"/>
  <c r="K86"/>
  <c r="F86"/>
  <c r="K85"/>
  <c r="F85"/>
  <c r="K84"/>
  <c r="F84"/>
  <c r="K83"/>
  <c r="F83"/>
  <c r="J82"/>
  <c r="K82" s="1"/>
  <c r="F82"/>
  <c r="K81"/>
  <c r="F81"/>
  <c r="J80"/>
  <c r="K80" s="1"/>
  <c r="F80"/>
  <c r="K79"/>
  <c r="F79"/>
  <c r="K78"/>
  <c r="F77"/>
  <c r="K76"/>
  <c r="F76"/>
  <c r="K75"/>
  <c r="J75"/>
  <c r="F75"/>
  <c r="K74"/>
  <c r="F74"/>
  <c r="K73"/>
  <c r="J73"/>
  <c r="J72"/>
  <c r="K72" s="1"/>
  <c r="F72"/>
  <c r="J71"/>
  <c r="K71" s="1"/>
  <c r="F71"/>
  <c r="K70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F5"/>
  <c r="K4"/>
  <c r="H4"/>
  <c r="K3"/>
  <c r="F3"/>
  <c r="H3" s="1"/>
  <c r="J2"/>
  <c r="F2" s="1"/>
  <c r="H2" s="1"/>
  <c r="I2"/>
  <c r="K94" i="55"/>
  <c r="K93"/>
  <c r="K92"/>
  <c r="H50" i="56" l="1"/>
  <c r="H51"/>
  <c r="K95"/>
  <c r="F94" i="55" l="1"/>
  <c r="G93"/>
  <c r="F93"/>
  <c r="G92"/>
  <c r="F92"/>
  <c r="K91"/>
  <c r="F91"/>
  <c r="K90"/>
  <c r="F90"/>
  <c r="K89"/>
  <c r="F89"/>
  <c r="K88"/>
  <c r="F88"/>
  <c r="K87"/>
  <c r="F87"/>
  <c r="K86"/>
  <c r="F86"/>
  <c r="K85"/>
  <c r="F85"/>
  <c r="K84"/>
  <c r="F84"/>
  <c r="K83"/>
  <c r="F83"/>
  <c r="J82"/>
  <c r="K82" s="1"/>
  <c r="F82"/>
  <c r="K81"/>
  <c r="F81"/>
  <c r="J80"/>
  <c r="K80" s="1"/>
  <c r="F80"/>
  <c r="K79"/>
  <c r="F79"/>
  <c r="K78"/>
  <c r="K77"/>
  <c r="F77"/>
  <c r="K76"/>
  <c r="F76"/>
  <c r="K75"/>
  <c r="J75"/>
  <c r="F75"/>
  <c r="K74"/>
  <c r="F74"/>
  <c r="K73"/>
  <c r="J73"/>
  <c r="J72"/>
  <c r="K72" s="1"/>
  <c r="F72"/>
  <c r="J71"/>
  <c r="K71" s="1"/>
  <c r="F71"/>
  <c r="K70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F94" i="54"/>
  <c r="K94"/>
  <c r="K93"/>
  <c r="F93"/>
  <c r="G93"/>
  <c r="G92"/>
  <c r="K92"/>
  <c r="H51" i="55" l="1"/>
  <c r="H50"/>
  <c r="K95"/>
  <c r="F92" i="54"/>
  <c r="K91"/>
  <c r="K90"/>
  <c r="F91"/>
  <c r="F90"/>
  <c r="K89"/>
  <c r="F89"/>
  <c r="K88"/>
  <c r="F88"/>
  <c r="K87"/>
  <c r="F87"/>
  <c r="K86"/>
  <c r="F86"/>
  <c r="K85"/>
  <c r="F85"/>
  <c r="K84"/>
  <c r="F84"/>
  <c r="K83"/>
  <c r="F83"/>
  <c r="J82"/>
  <c r="K82" s="1"/>
  <c r="F82"/>
  <c r="K81"/>
  <c r="F81"/>
  <c r="J80"/>
  <c r="K80" s="1"/>
  <c r="F80"/>
  <c r="K79"/>
  <c r="F79"/>
  <c r="K78"/>
  <c r="K77"/>
  <c r="F77"/>
  <c r="K76"/>
  <c r="F76"/>
  <c r="K75"/>
  <c r="J75"/>
  <c r="F75"/>
  <c r="K74"/>
  <c r="F74"/>
  <c r="K73"/>
  <c r="J73"/>
  <c r="J72"/>
  <c r="K72" s="1"/>
  <c r="F72"/>
  <c r="J71"/>
  <c r="K71" s="1"/>
  <c r="F71"/>
  <c r="K70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91" i="53"/>
  <c r="F91"/>
  <c r="K95" i="54" l="1"/>
  <c r="H50"/>
  <c r="H51"/>
  <c r="K90" i="53"/>
  <c r="F90"/>
  <c r="K89"/>
  <c r="K89" i="52"/>
  <c r="F89" i="53"/>
  <c r="K88"/>
  <c r="F88"/>
  <c r="K87"/>
  <c r="F87"/>
  <c r="K86"/>
  <c r="F86"/>
  <c r="K85"/>
  <c r="F85"/>
  <c r="K84"/>
  <c r="F84"/>
  <c r="K83"/>
  <c r="F83"/>
  <c r="J82"/>
  <c r="K82" s="1"/>
  <c r="F82"/>
  <c r="K81"/>
  <c r="F81"/>
  <c r="J80"/>
  <c r="K80" s="1"/>
  <c r="F80"/>
  <c r="K79"/>
  <c r="F79"/>
  <c r="K78"/>
  <c r="K77"/>
  <c r="F77"/>
  <c r="K76"/>
  <c r="F76"/>
  <c r="K75"/>
  <c r="J75"/>
  <c r="F75"/>
  <c r="K74"/>
  <c r="F74"/>
  <c r="K73"/>
  <c r="J73"/>
  <c r="J72"/>
  <c r="K72" s="1"/>
  <c r="F72"/>
  <c r="J71"/>
  <c r="K71" s="1"/>
  <c r="F71"/>
  <c r="K70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F89" i="52"/>
  <c r="K86"/>
  <c r="K85"/>
  <c r="K88"/>
  <c r="F88"/>
  <c r="K87"/>
  <c r="F87"/>
  <c r="F86"/>
  <c r="F85"/>
  <c r="K84"/>
  <c r="F84"/>
  <c r="K83"/>
  <c r="F83"/>
  <c r="J82"/>
  <c r="K82" s="1"/>
  <c r="F82"/>
  <c r="K81"/>
  <c r="F81"/>
  <c r="J80"/>
  <c r="K80" s="1"/>
  <c r="F80"/>
  <c r="K79"/>
  <c r="F79"/>
  <c r="K78"/>
  <c r="K77"/>
  <c r="F77"/>
  <c r="K76"/>
  <c r="F76"/>
  <c r="K75"/>
  <c r="J75"/>
  <c r="F75"/>
  <c r="K74"/>
  <c r="F74"/>
  <c r="K73"/>
  <c r="J73"/>
  <c r="J72"/>
  <c r="K72" s="1"/>
  <c r="F72"/>
  <c r="J71"/>
  <c r="K71" s="1"/>
  <c r="F71"/>
  <c r="K70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F85" i="49"/>
  <c r="K85"/>
  <c r="K88" i="51"/>
  <c r="K85" i="50"/>
  <c r="K71" i="48"/>
  <c r="F88" i="51"/>
  <c r="K82" i="46"/>
  <c r="F82"/>
  <c r="F85" i="50"/>
  <c r="K81" i="51"/>
  <c r="K81" i="47"/>
  <c r="K90" i="52" l="1"/>
  <c r="K92" i="53"/>
  <c r="H51"/>
  <c r="H50"/>
  <c r="H51" i="52"/>
  <c r="H50"/>
  <c r="F87" i="51"/>
  <c r="K87"/>
  <c r="K86"/>
  <c r="F86"/>
  <c r="K85" l="1"/>
  <c r="F85"/>
  <c r="K84" l="1"/>
  <c r="F84"/>
  <c r="K83"/>
  <c r="F83"/>
  <c r="J82"/>
  <c r="K82" s="1"/>
  <c r="F82"/>
  <c r="F81"/>
  <c r="J80"/>
  <c r="K80" s="1"/>
  <c r="F80"/>
  <c r="K79"/>
  <c r="F79"/>
  <c r="K78"/>
  <c r="K77"/>
  <c r="F77"/>
  <c r="K76"/>
  <c r="F76"/>
  <c r="K75"/>
  <c r="J75"/>
  <c r="F75"/>
  <c r="K74"/>
  <c r="F74"/>
  <c r="K73"/>
  <c r="J73"/>
  <c r="J72"/>
  <c r="K72" s="1"/>
  <c r="F72"/>
  <c r="J71"/>
  <c r="K71" s="1"/>
  <c r="F71"/>
  <c r="K70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84" i="50"/>
  <c r="K83"/>
  <c r="F84"/>
  <c r="F83"/>
  <c r="J82"/>
  <c r="K82" s="1"/>
  <c r="F82"/>
  <c r="K81"/>
  <c r="F81"/>
  <c r="J80"/>
  <c r="K80" s="1"/>
  <c r="F80"/>
  <c r="K79"/>
  <c r="F79"/>
  <c r="K78"/>
  <c r="K77"/>
  <c r="F77"/>
  <c r="K76"/>
  <c r="F76"/>
  <c r="K75"/>
  <c r="J75"/>
  <c r="F75"/>
  <c r="K74"/>
  <c r="F74"/>
  <c r="K73"/>
  <c r="J73"/>
  <c r="J72"/>
  <c r="K72" s="1"/>
  <c r="F72"/>
  <c r="J71"/>
  <c r="K71" s="1"/>
  <c r="F71"/>
  <c r="K70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H50" l="1"/>
  <c r="K89" i="51"/>
  <c r="K86" i="50"/>
  <c r="H51"/>
  <c r="H51" i="51"/>
  <c r="H50"/>
  <c r="K75" i="48" l="1"/>
  <c r="K75" i="49"/>
  <c r="K73" i="48"/>
  <c r="K73" i="49"/>
  <c r="K84"/>
  <c r="K83"/>
  <c r="F84"/>
  <c r="F83"/>
  <c r="K77"/>
  <c r="J82"/>
  <c r="K82" s="1"/>
  <c r="F82"/>
  <c r="K81"/>
  <c r="F81"/>
  <c r="J80"/>
  <c r="K80" s="1"/>
  <c r="F80"/>
  <c r="K79"/>
  <c r="F79"/>
  <c r="K78"/>
  <c r="F77"/>
  <c r="K76"/>
  <c r="F76"/>
  <c r="J75"/>
  <c r="F75"/>
  <c r="K74"/>
  <c r="F74"/>
  <c r="J73"/>
  <c r="J72"/>
  <c r="K72" s="1"/>
  <c r="F72"/>
  <c r="J71"/>
  <c r="K71" s="1"/>
  <c r="F71"/>
  <c r="K70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L83" i="47"/>
  <c r="L77" i="45"/>
  <c r="L74" i="44"/>
  <c r="L77" i="46"/>
  <c r="L82" s="1"/>
  <c r="L75" i="45"/>
  <c r="L73" i="43"/>
  <c r="L74" s="1"/>
  <c r="K86" i="49" l="1"/>
  <c r="H51"/>
  <c r="H50"/>
  <c r="J82" i="48"/>
  <c r="K82" s="1"/>
  <c r="F82"/>
  <c r="K81"/>
  <c r="F81"/>
  <c r="J80"/>
  <c r="K80" s="1"/>
  <c r="F80"/>
  <c r="K79"/>
  <c r="F79"/>
  <c r="K78"/>
  <c r="K77"/>
  <c r="F77"/>
  <c r="K76"/>
  <c r="F76"/>
  <c r="J75"/>
  <c r="F75"/>
  <c r="K74"/>
  <c r="F74"/>
  <c r="J73"/>
  <c r="J72"/>
  <c r="K72" s="1"/>
  <c r="F72"/>
  <c r="J71"/>
  <c r="F71"/>
  <c r="K70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H51" l="1"/>
  <c r="H50"/>
  <c r="K83"/>
  <c r="F82" i="47"/>
  <c r="J82"/>
  <c r="K82" s="1"/>
  <c r="K77" l="1"/>
  <c r="K78"/>
  <c r="K79"/>
  <c r="F81"/>
  <c r="J80"/>
  <c r="K80" s="1"/>
  <c r="F80"/>
  <c r="F79"/>
  <c r="F77"/>
  <c r="K76"/>
  <c r="F76"/>
  <c r="J75"/>
  <c r="K75" s="1"/>
  <c r="F75"/>
  <c r="K74"/>
  <c r="F74"/>
  <c r="J73"/>
  <c r="K73" s="1"/>
  <c r="J72"/>
  <c r="K72" s="1"/>
  <c r="F72"/>
  <c r="J71"/>
  <c r="K71" s="1"/>
  <c r="F71"/>
  <c r="K70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F81" i="46"/>
  <c r="K81"/>
  <c r="F80"/>
  <c r="J80"/>
  <c r="K80" s="1"/>
  <c r="F79"/>
  <c r="K78"/>
  <c r="K79"/>
  <c r="F77"/>
  <c r="K77"/>
  <c r="K74"/>
  <c r="K76"/>
  <c r="F76"/>
  <c r="J75"/>
  <c r="K75" s="1"/>
  <c r="F75"/>
  <c r="F74"/>
  <c r="J73"/>
  <c r="K73" s="1"/>
  <c r="J72"/>
  <c r="K72" s="1"/>
  <c r="F72"/>
  <c r="J71"/>
  <c r="K71" s="1"/>
  <c r="F71"/>
  <c r="K70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F76" i="45"/>
  <c r="K76"/>
  <c r="F75"/>
  <c r="J75"/>
  <c r="K75" s="1"/>
  <c r="K74"/>
  <c r="F74"/>
  <c r="J73"/>
  <c r="K73" s="1"/>
  <c r="J72"/>
  <c r="K72" s="1"/>
  <c r="F72"/>
  <c r="J71"/>
  <c r="K71" s="1"/>
  <c r="F71"/>
  <c r="K70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70" i="44"/>
  <c r="J73"/>
  <c r="K73" s="1"/>
  <c r="J72"/>
  <c r="K72" s="1"/>
  <c r="F72"/>
  <c r="J71"/>
  <c r="K71" s="1"/>
  <c r="F71"/>
  <c r="F70"/>
  <c r="K69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J46"/>
  <c r="K46" s="1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J73" i="43"/>
  <c r="K73" s="1"/>
  <c r="J46"/>
  <c r="J72"/>
  <c r="H51" i="45" l="1"/>
  <c r="K83" i="47"/>
  <c r="H50" i="44"/>
  <c r="K77" i="45"/>
  <c r="K83" i="46"/>
  <c r="H51" i="47"/>
  <c r="H51" i="44"/>
  <c r="H50" i="45"/>
  <c r="H50" i="47"/>
  <c r="H51" i="46"/>
  <c r="H50"/>
  <c r="K74" i="44"/>
  <c r="F72" i="43"/>
  <c r="K72"/>
  <c r="F71"/>
  <c r="J71"/>
  <c r="K71" s="1"/>
  <c r="K70"/>
  <c r="F70"/>
  <c r="I2"/>
  <c r="J2"/>
  <c r="F2" s="1"/>
  <c r="H2" s="1"/>
  <c r="F3"/>
  <c r="H3" s="1"/>
  <c r="K3"/>
  <c r="H4"/>
  <c r="K4"/>
  <c r="F5"/>
  <c r="K5"/>
  <c r="F6"/>
  <c r="H6" s="1"/>
  <c r="F7"/>
  <c r="H7"/>
  <c r="K7"/>
  <c r="K8"/>
  <c r="K9"/>
  <c r="F10"/>
  <c r="G10"/>
  <c r="K11"/>
  <c r="F13"/>
  <c r="E14"/>
  <c r="F14"/>
  <c r="K14"/>
  <c r="F15"/>
  <c r="K15"/>
  <c r="E16"/>
  <c r="F16"/>
  <c r="K16"/>
  <c r="F17"/>
  <c r="F18"/>
  <c r="K18"/>
  <c r="F19"/>
  <c r="K19"/>
  <c r="F20"/>
  <c r="K20"/>
  <c r="F21"/>
  <c r="I21"/>
  <c r="K21" s="1"/>
  <c r="F22"/>
  <c r="K22"/>
  <c r="F23"/>
  <c r="K23"/>
  <c r="F24"/>
  <c r="G24"/>
  <c r="K24"/>
  <c r="F25"/>
  <c r="K25"/>
  <c r="K26"/>
  <c r="F27"/>
  <c r="K27"/>
  <c r="F28"/>
  <c r="K28"/>
  <c r="F29"/>
  <c r="K29"/>
  <c r="F30"/>
  <c r="K30"/>
  <c r="E31"/>
  <c r="F31"/>
  <c r="F32"/>
  <c r="I32"/>
  <c r="K32" s="1"/>
  <c r="K33"/>
  <c r="F35"/>
  <c r="K35"/>
  <c r="F36"/>
  <c r="K36"/>
  <c r="F37"/>
  <c r="K37"/>
  <c r="F38"/>
  <c r="K38"/>
  <c r="F39"/>
  <c r="K39"/>
  <c r="F40"/>
  <c r="K40"/>
  <c r="F41"/>
  <c r="K41"/>
  <c r="F42"/>
  <c r="K42"/>
  <c r="F43"/>
  <c r="F44"/>
  <c r="K44"/>
  <c r="K45"/>
  <c r="E46"/>
  <c r="K46"/>
  <c r="F47"/>
  <c r="J47"/>
  <c r="K47" s="1"/>
  <c r="F48"/>
  <c r="K48"/>
  <c r="E49"/>
  <c r="F49"/>
  <c r="J49"/>
  <c r="K49" s="1"/>
  <c r="E50"/>
  <c r="F50"/>
  <c r="K50"/>
  <c r="E51"/>
  <c r="F51"/>
  <c r="J51"/>
  <c r="K51" s="1"/>
  <c r="F52"/>
  <c r="H52" s="1"/>
  <c r="K52"/>
  <c r="K53"/>
  <c r="E54"/>
  <c r="K54"/>
  <c r="K55"/>
  <c r="F56"/>
  <c r="K56"/>
  <c r="F57"/>
  <c r="K57"/>
  <c r="F58"/>
  <c r="K58"/>
  <c r="E59"/>
  <c r="F59"/>
  <c r="J59"/>
  <c r="K59" s="1"/>
  <c r="F60"/>
  <c r="K60"/>
  <c r="F61"/>
  <c r="K61"/>
  <c r="F62"/>
  <c r="K62"/>
  <c r="K63"/>
  <c r="F64"/>
  <c r="K64"/>
  <c r="F65"/>
  <c r="K65"/>
  <c r="F66"/>
  <c r="K66"/>
  <c r="F67"/>
  <c r="K67"/>
  <c r="K68"/>
  <c r="F69"/>
  <c r="K69"/>
  <c r="H51" l="1"/>
  <c r="H50"/>
  <c r="K74"/>
  <c r="K69" i="42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K46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69" i="41"/>
  <c r="F69"/>
  <c r="K68"/>
  <c r="K67"/>
  <c r="F67"/>
  <c r="K66"/>
  <c r="F66"/>
  <c r="K65"/>
  <c r="F65"/>
  <c r="K64"/>
  <c r="F64"/>
  <c r="K63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K46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H50" i="42" l="1"/>
  <c r="H50" i="41"/>
  <c r="K70"/>
  <c r="H51" i="42"/>
  <c r="H51" i="41"/>
  <c r="K70" i="42"/>
  <c r="K52" i="40"/>
  <c r="K50"/>
  <c r="K63" l="1"/>
  <c r="K62" i="39"/>
  <c r="K62" i="38"/>
  <c r="K69" i="40" l="1"/>
  <c r="F69"/>
  <c r="K68"/>
  <c r="K67"/>
  <c r="F67"/>
  <c r="K66"/>
  <c r="F66"/>
  <c r="K65"/>
  <c r="F65"/>
  <c r="K64"/>
  <c r="F64"/>
  <c r="K62"/>
  <c r="F62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F52"/>
  <c r="H52" s="1"/>
  <c r="J51"/>
  <c r="K51" s="1"/>
  <c r="F51"/>
  <c r="E51"/>
  <c r="F50"/>
  <c r="E50"/>
  <c r="J49"/>
  <c r="K49" s="1"/>
  <c r="F49"/>
  <c r="E49"/>
  <c r="K48"/>
  <c r="F48"/>
  <c r="J47"/>
  <c r="K47" s="1"/>
  <c r="F47"/>
  <c r="K46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69" i="39"/>
  <c r="F69"/>
  <c r="K68"/>
  <c r="K67"/>
  <c r="K66"/>
  <c r="K65"/>
  <c r="K64"/>
  <c r="K63"/>
  <c r="K61"/>
  <c r="F67"/>
  <c r="F66"/>
  <c r="F65"/>
  <c r="F64"/>
  <c r="F63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K46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68" i="38"/>
  <c r="F67"/>
  <c r="K67"/>
  <c r="K66"/>
  <c r="F66"/>
  <c r="I21"/>
  <c r="K21" s="1"/>
  <c r="K65"/>
  <c r="F65"/>
  <c r="K64"/>
  <c r="F64"/>
  <c r="K63"/>
  <c r="F63"/>
  <c r="K61"/>
  <c r="F61"/>
  <c r="K60"/>
  <c r="F60"/>
  <c r="J59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K46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H50" i="40" l="1"/>
  <c r="H51" i="38"/>
  <c r="H51" i="40"/>
  <c r="H50" i="39"/>
  <c r="K69" i="38"/>
  <c r="H50"/>
  <c r="H51" i="39"/>
  <c r="K70"/>
  <c r="K70" i="40"/>
  <c r="K60" i="37"/>
  <c r="F60"/>
  <c r="K43" i="34"/>
  <c r="J59" i="37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K46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J59" i="36"/>
  <c r="K59" s="1"/>
  <c r="F59"/>
  <c r="E59"/>
  <c r="K58"/>
  <c r="F58"/>
  <c r="K57"/>
  <c r="F57"/>
  <c r="K56"/>
  <c r="F56"/>
  <c r="K55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K46"/>
  <c r="E46"/>
  <c r="K45"/>
  <c r="K44"/>
  <c r="F44"/>
  <c r="K43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H51" i="37" l="1"/>
  <c r="H51" i="36"/>
  <c r="H50"/>
  <c r="H50" i="37"/>
  <c r="K61"/>
  <c r="K60" i="36"/>
  <c r="K55" i="34"/>
  <c r="K55" i="33"/>
  <c r="K55" i="32"/>
  <c r="F59" i="34" l="1"/>
  <c r="J59"/>
  <c r="K59" s="1"/>
  <c r="E59"/>
  <c r="K58"/>
  <c r="F58"/>
  <c r="K57"/>
  <c r="F57"/>
  <c r="K56"/>
  <c r="F56"/>
  <c r="K54"/>
  <c r="E54"/>
  <c r="K53"/>
  <c r="K52"/>
  <c r="F52"/>
  <c r="H52" s="1"/>
  <c r="J51"/>
  <c r="K51" s="1"/>
  <c r="H51"/>
  <c r="F51"/>
  <c r="E51"/>
  <c r="K50"/>
  <c r="F50"/>
  <c r="E50"/>
  <c r="J49"/>
  <c r="K49" s="1"/>
  <c r="F49"/>
  <c r="E49"/>
  <c r="K48"/>
  <c r="F48"/>
  <c r="J47"/>
  <c r="K47" s="1"/>
  <c r="F47"/>
  <c r="K46"/>
  <c r="E46"/>
  <c r="K45"/>
  <c r="K44"/>
  <c r="F44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58" i="33"/>
  <c r="K57"/>
  <c r="K56"/>
  <c r="F58"/>
  <c r="F57"/>
  <c r="F56"/>
  <c r="K54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K46"/>
  <c r="E46"/>
  <c r="K45"/>
  <c r="K44"/>
  <c r="F44"/>
  <c r="K43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58" i="32"/>
  <c r="K57"/>
  <c r="K56"/>
  <c r="H50" i="34" l="1"/>
  <c r="H51" i="33"/>
  <c r="H50"/>
  <c r="K60" i="34"/>
  <c r="K59" i="33"/>
  <c r="F58" i="32" l="1"/>
  <c r="F57"/>
  <c r="F56"/>
  <c r="K53" i="30" l="1"/>
  <c r="K54" i="32" l="1"/>
  <c r="E54"/>
  <c r="K53"/>
  <c r="K52"/>
  <c r="F52"/>
  <c r="H52" s="1"/>
  <c r="J51"/>
  <c r="K51" s="1"/>
  <c r="F51"/>
  <c r="E51"/>
  <c r="K50"/>
  <c r="F50"/>
  <c r="E50"/>
  <c r="H50" s="1"/>
  <c r="J49"/>
  <c r="K49" s="1"/>
  <c r="F49"/>
  <c r="E49"/>
  <c r="K48"/>
  <c r="F48"/>
  <c r="J47"/>
  <c r="K47" s="1"/>
  <c r="F47"/>
  <c r="K46"/>
  <c r="E46"/>
  <c r="K45"/>
  <c r="K44"/>
  <c r="F44"/>
  <c r="K43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55" i="31"/>
  <c r="K59" i="32" l="1"/>
  <c r="H51"/>
  <c r="K54" i="30"/>
  <c r="F54"/>
  <c r="F53"/>
  <c r="K52"/>
  <c r="K50"/>
  <c r="K54" i="31"/>
  <c r="E54"/>
  <c r="K53"/>
  <c r="K52"/>
  <c r="F52"/>
  <c r="H52" s="1"/>
  <c r="J51"/>
  <c r="K51" s="1"/>
  <c r="F51"/>
  <c r="E51"/>
  <c r="K50"/>
  <c r="F50"/>
  <c r="E50"/>
  <c r="J49"/>
  <c r="K49" s="1"/>
  <c r="F49"/>
  <c r="E49"/>
  <c r="K48"/>
  <c r="F48"/>
  <c r="J47"/>
  <c r="K47" s="1"/>
  <c r="F47"/>
  <c r="K46"/>
  <c r="E46"/>
  <c r="K45"/>
  <c r="K44"/>
  <c r="F44"/>
  <c r="K43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H50" l="1"/>
  <c r="H51"/>
  <c r="K56"/>
  <c r="E54" i="30"/>
  <c r="F52" l="1"/>
  <c r="H52" s="1"/>
  <c r="J51"/>
  <c r="K51" s="1"/>
  <c r="F51"/>
  <c r="E51"/>
  <c r="F50"/>
  <c r="E50"/>
  <c r="J49"/>
  <c r="K49" s="1"/>
  <c r="F49"/>
  <c r="E49"/>
  <c r="K48"/>
  <c r="F48"/>
  <c r="J47"/>
  <c r="K47" s="1"/>
  <c r="F47"/>
  <c r="K46"/>
  <c r="E46"/>
  <c r="K45"/>
  <c r="K44"/>
  <c r="F44"/>
  <c r="K43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52" i="29"/>
  <c r="F52"/>
  <c r="H52" s="1"/>
  <c r="E50"/>
  <c r="F51"/>
  <c r="J51"/>
  <c r="K51" s="1"/>
  <c r="E51"/>
  <c r="F50"/>
  <c r="K50"/>
  <c r="J49"/>
  <c r="K49" s="1"/>
  <c r="F49"/>
  <c r="E49"/>
  <c r="K48"/>
  <c r="F48"/>
  <c r="J47"/>
  <c r="K47" s="1"/>
  <c r="F47"/>
  <c r="K46"/>
  <c r="E46"/>
  <c r="K45"/>
  <c r="K44"/>
  <c r="F44"/>
  <c r="K43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K32"/>
  <c r="I32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K21"/>
  <c r="I21"/>
  <c r="F21"/>
  <c r="K20"/>
  <c r="F20"/>
  <c r="K19"/>
  <c r="F19"/>
  <c r="K18"/>
  <c r="F18"/>
  <c r="K17"/>
  <c r="F17"/>
  <c r="K16"/>
  <c r="F16"/>
  <c r="E16"/>
  <c r="K15"/>
  <c r="F15"/>
  <c r="K14"/>
  <c r="F14"/>
  <c r="E14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E49" i="28"/>
  <c r="F49"/>
  <c r="J49"/>
  <c r="K49" s="1"/>
  <c r="K53" i="29" l="1"/>
  <c r="H49" i="28"/>
  <c r="K55" i="30"/>
  <c r="H51" i="29"/>
  <c r="H50"/>
  <c r="H51" i="30"/>
  <c r="H50"/>
  <c r="K48" i="28"/>
  <c r="F48"/>
  <c r="J47"/>
  <c r="K47" s="1"/>
  <c r="F47"/>
  <c r="K46"/>
  <c r="E46"/>
  <c r="K45"/>
  <c r="K44"/>
  <c r="F44"/>
  <c r="K43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50" l="1"/>
  <c r="K48" i="27"/>
  <c r="F48"/>
  <c r="J47"/>
  <c r="K47" s="1"/>
  <c r="F47"/>
  <c r="K46"/>
  <c r="E46"/>
  <c r="K45"/>
  <c r="K44"/>
  <c r="F44"/>
  <c r="K43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49" l="1"/>
  <c r="K22" i="25"/>
  <c r="K48" i="26" l="1"/>
  <c r="F48"/>
  <c r="F48" i="25"/>
  <c r="K48"/>
  <c r="J47" i="26" l="1"/>
  <c r="K47" s="1"/>
  <c r="F47"/>
  <c r="F46" i="25"/>
  <c r="F47"/>
  <c r="J47"/>
  <c r="K47" s="1"/>
  <c r="K46" i="26" l="1"/>
  <c r="K45"/>
  <c r="E46"/>
  <c r="K44"/>
  <c r="F44"/>
  <c r="K43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46" i="25"/>
  <c r="E46"/>
  <c r="K45"/>
  <c r="K44"/>
  <c r="F44"/>
  <c r="K43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49" l="1"/>
  <c r="K49" i="26"/>
  <c r="K43" i="23"/>
  <c r="K44" i="24" l="1"/>
  <c r="F44"/>
  <c r="K43"/>
  <c r="F43"/>
  <c r="K42"/>
  <c r="F42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F43" i="23"/>
  <c r="K45" i="24" l="1"/>
  <c r="K44" i="23"/>
  <c r="F44"/>
  <c r="K41"/>
  <c r="F41"/>
  <c r="K40"/>
  <c r="F40"/>
  <c r="K39"/>
  <c r="F39"/>
  <c r="K38"/>
  <c r="F38"/>
  <c r="K37"/>
  <c r="F37"/>
  <c r="K36"/>
  <c r="F36"/>
  <c r="K35"/>
  <c r="F35"/>
  <c r="K33"/>
  <c r="I32"/>
  <c r="K32" s="1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45" l="1"/>
  <c r="K12" i="22"/>
  <c r="F44"/>
  <c r="F41"/>
  <c r="K41"/>
  <c r="K42"/>
  <c r="K44"/>
  <c r="K40" l="1"/>
  <c r="F40"/>
  <c r="K39"/>
  <c r="F39"/>
  <c r="K38"/>
  <c r="F38"/>
  <c r="K37"/>
  <c r="F37"/>
  <c r="K36"/>
  <c r="F36"/>
  <c r="K35"/>
  <c r="F35"/>
  <c r="K34"/>
  <c r="K33"/>
  <c r="I32"/>
  <c r="K32" s="1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F13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45" l="1"/>
  <c r="K40" i="21"/>
  <c r="F40"/>
  <c r="K39"/>
  <c r="F39"/>
  <c r="K38"/>
  <c r="F38"/>
  <c r="K37"/>
  <c r="F37"/>
  <c r="K36"/>
  <c r="F36"/>
  <c r="K35"/>
  <c r="F35"/>
  <c r="K34"/>
  <c r="K33"/>
  <c r="I32"/>
  <c r="K32" s="1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45" l="1"/>
  <c r="K40" i="18"/>
  <c r="K39"/>
  <c r="K38"/>
  <c r="K37"/>
  <c r="K36"/>
  <c r="K35"/>
  <c r="K40" i="20" l="1"/>
  <c r="F40"/>
  <c r="K39"/>
  <c r="F39"/>
  <c r="K38"/>
  <c r="F38"/>
  <c r="K37"/>
  <c r="F37"/>
  <c r="K36"/>
  <c r="F36"/>
  <c r="K35"/>
  <c r="F35"/>
  <c r="K34"/>
  <c r="K33"/>
  <c r="I32"/>
  <c r="K32" s="1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F35" i="18"/>
  <c r="F36"/>
  <c r="F37"/>
  <c r="F38"/>
  <c r="F39"/>
  <c r="F40"/>
  <c r="K41" i="20" l="1"/>
  <c r="K34" i="18" l="1"/>
  <c r="K33"/>
  <c r="I32"/>
  <c r="K32" s="1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41" l="1"/>
  <c r="K34" i="19"/>
  <c r="K33"/>
  <c r="I32"/>
  <c r="K32" s="1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35" l="1"/>
  <c r="K34" i="17"/>
  <c r="K33" l="1"/>
  <c r="I32" l="1"/>
  <c r="K32" s="1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35" l="1"/>
  <c r="I32" i="16"/>
  <c r="K32" s="1"/>
  <c r="F32"/>
  <c r="K31"/>
  <c r="F31"/>
  <c r="E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K13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F31" i="14"/>
  <c r="F32"/>
  <c r="E31"/>
  <c r="K33" i="16" l="1"/>
  <c r="I32" i="14"/>
  <c r="K32" s="1"/>
  <c r="K31"/>
  <c r="K30"/>
  <c r="F30"/>
  <c r="K29"/>
  <c r="F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K13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33" l="1"/>
  <c r="F30" i="13"/>
  <c r="F29"/>
  <c r="K30" l="1"/>
  <c r="K29"/>
  <c r="K28"/>
  <c r="F28"/>
  <c r="K2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K13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33" l="1"/>
  <c r="K28" i="15"/>
  <c r="F28"/>
  <c r="K27" l="1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K13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29" l="1"/>
  <c r="K27" i="12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K13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28" l="1"/>
  <c r="K27" i="10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K13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27" i="9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K13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27" i="7"/>
  <c r="F27"/>
  <c r="K26"/>
  <c r="K2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K13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28" l="1"/>
  <c r="K28" i="9"/>
  <c r="K28" i="10"/>
  <c r="K27" i="5"/>
  <c r="F27"/>
  <c r="K26"/>
  <c r="K25" i="6" l="1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K13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I2"/>
  <c r="K25" i="5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K13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2" i="6" l="1"/>
  <c r="K26" s="1"/>
  <c r="K28" i="5"/>
  <c r="F2" i="6"/>
  <c r="H2" s="1"/>
  <c r="K25" i="4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K13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25" i="3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K13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K2" i="4" l="1"/>
  <c r="K2" i="3"/>
  <c r="K26" i="4"/>
  <c r="K26" i="3"/>
  <c r="K25" i="2"/>
  <c r="F25"/>
  <c r="K24"/>
  <c r="G24"/>
  <c r="F24"/>
  <c r="K23"/>
  <c r="F23"/>
  <c r="K22"/>
  <c r="F22"/>
  <c r="I21"/>
  <c r="K21" s="1"/>
  <c r="F21"/>
  <c r="K20"/>
  <c r="F20"/>
  <c r="K19"/>
  <c r="F19"/>
  <c r="K18"/>
  <c r="F18"/>
  <c r="K17"/>
  <c r="F17"/>
  <c r="K16"/>
  <c r="F16"/>
  <c r="E16"/>
  <c r="K15"/>
  <c r="F15"/>
  <c r="K14"/>
  <c r="F14"/>
  <c r="E14"/>
  <c r="K13"/>
  <c r="F13"/>
  <c r="K12"/>
  <c r="K11"/>
  <c r="G10"/>
  <c r="F10"/>
  <c r="K9"/>
  <c r="K8"/>
  <c r="K7"/>
  <c r="H7"/>
  <c r="F7"/>
  <c r="F6"/>
  <c r="H6" s="1"/>
  <c r="K5"/>
  <c r="F5"/>
  <c r="K4"/>
  <c r="H4"/>
  <c r="K3"/>
  <c r="F3"/>
  <c r="H3" s="1"/>
  <c r="J2"/>
  <c r="F2" s="1"/>
  <c r="H2" s="1"/>
  <c r="I2"/>
  <c r="G24" i="1"/>
  <c r="K2" i="2" l="1"/>
  <c r="K26" s="1"/>
  <c r="F24" i="1"/>
  <c r="K24"/>
  <c r="J2" l="1"/>
  <c r="I2"/>
  <c r="F23" l="1"/>
  <c r="F22"/>
  <c r="K23"/>
  <c r="K22"/>
  <c r="K3" l="1"/>
  <c r="K4"/>
  <c r="K5"/>
  <c r="K7"/>
  <c r="K8"/>
  <c r="K9"/>
  <c r="K11"/>
  <c r="K12"/>
  <c r="K13"/>
  <c r="K14"/>
  <c r="K15"/>
  <c r="K16"/>
  <c r="K17"/>
  <c r="K18"/>
  <c r="K19"/>
  <c r="K20"/>
  <c r="F21"/>
  <c r="F20"/>
  <c r="F19"/>
  <c r="I21"/>
  <c r="K21" s="1"/>
  <c r="F18"/>
  <c r="F17" l="1"/>
  <c r="F16" l="1"/>
  <c r="F15"/>
  <c r="F14"/>
  <c r="F13"/>
  <c r="E16"/>
  <c r="E14"/>
  <c r="F10" l="1"/>
  <c r="G10"/>
  <c r="F7" l="1"/>
  <c r="H7" l="1"/>
  <c r="F6" l="1"/>
  <c r="H6" s="1"/>
  <c r="F5" l="1"/>
  <c r="F3" l="1"/>
  <c r="H3" s="1"/>
  <c r="H4"/>
  <c r="F2"/>
  <c r="H2" s="1"/>
  <c r="K2" l="1"/>
  <c r="K25" s="1"/>
</calcChain>
</file>

<file path=xl/sharedStrings.xml><?xml version="1.0" encoding="utf-8"?>
<sst xmlns="http://schemas.openxmlformats.org/spreadsheetml/2006/main" count="13985" uniqueCount="612">
  <si>
    <t>DATE ACTIVATION</t>
  </si>
  <si>
    <t>DATE PORTA</t>
  </si>
  <si>
    <t>OUVERTURE LIGNE</t>
  </si>
  <si>
    <t>LIVRAISON</t>
  </si>
  <si>
    <t>TOTAL</t>
  </si>
  <si>
    <t>FACTURATION MENSUELLE</t>
  </si>
  <si>
    <t>DROUARD LARNICOL</t>
  </si>
  <si>
    <t>Coût mensuel</t>
  </si>
  <si>
    <t>Marge mensuelle SOFTWHERE</t>
  </si>
  <si>
    <t>GOURIOU</t>
  </si>
  <si>
    <t>KERAVAL</t>
  </si>
  <si>
    <t>Prorata avant début facturation</t>
  </si>
  <si>
    <t>TOTAL FRAIS</t>
  </si>
  <si>
    <t>TSO</t>
  </si>
  <si>
    <t>HOTEL GRANITIERE</t>
  </si>
  <si>
    <t>KERAVAL2</t>
  </si>
  <si>
    <t>VIDANGEUR BRETON</t>
  </si>
  <si>
    <t>FR ENVIRONNNEMENT</t>
  </si>
  <si>
    <t>TRANSPORT IROISE</t>
  </si>
  <si>
    <t>LTF</t>
  </si>
  <si>
    <t>RAYLOG</t>
  </si>
  <si>
    <t>CHAMP PHILIPPE</t>
  </si>
  <si>
    <t>ACTEVA MARSEILLE</t>
  </si>
  <si>
    <t>ACTEVA ECHIROLLES</t>
  </si>
  <si>
    <t>STUDIO EN TETE</t>
  </si>
  <si>
    <t>IDT</t>
  </si>
  <si>
    <t>LUCIA</t>
  </si>
  <si>
    <t>KERAVAL 3</t>
  </si>
  <si>
    <t>KERAVAL 4</t>
  </si>
  <si>
    <t>I-TO</t>
  </si>
  <si>
    <t>LE GOFF</t>
  </si>
  <si>
    <t xml:space="preserve">VIDAMENT </t>
  </si>
  <si>
    <t>LE GUEN</t>
  </si>
  <si>
    <t>Rejet prélèvement à partir de mai, résilié fin fin modem non retourné 80 € ht</t>
  </si>
  <si>
    <t>Modem non retourné 80 € ht</t>
  </si>
  <si>
    <t>Frais résiliation</t>
  </si>
  <si>
    <t>Frais annexes/messages</t>
  </si>
  <si>
    <t>POVOFOR</t>
  </si>
  <si>
    <t>EDSI</t>
  </si>
  <si>
    <t>L'INSTANT D'A</t>
  </si>
  <si>
    <t>SARL COIC</t>
  </si>
  <si>
    <t>LE GOFF LOUDEAC</t>
  </si>
  <si>
    <t>FLUX MORLAISIEN</t>
  </si>
  <si>
    <t>BASSET IMMO</t>
  </si>
  <si>
    <t>ART COLOR 2000</t>
  </si>
  <si>
    <t>BIAVANT</t>
  </si>
  <si>
    <t>SCM LAENNEC</t>
  </si>
  <si>
    <t>JO LE BOEDEC PONTIVY</t>
  </si>
  <si>
    <t>JO LE BOEDEC CARHAIX</t>
  </si>
  <si>
    <t>JO LE BOEDEC BRIEC</t>
  </si>
  <si>
    <t>JO LE BOEDEC CHATEAUNEUF</t>
  </si>
  <si>
    <t>JO LE BOEDEC QUIMPER</t>
  </si>
  <si>
    <t>JO LE BOEDEC LOUDEAC</t>
  </si>
  <si>
    <t>TCB SAINT NICOLAS</t>
  </si>
  <si>
    <t>TCB ROSTRENEN</t>
  </si>
  <si>
    <t>JO LE BOEDEC BURENO</t>
  </si>
  <si>
    <t>JO LE BOEDEC LA NIEL</t>
  </si>
  <si>
    <t>AMBULANCE GARREC</t>
  </si>
  <si>
    <t>DEMENAGEMENT L'HERROU</t>
  </si>
  <si>
    <t>4M</t>
  </si>
  <si>
    <t>2 NUMEROS GEO</t>
  </si>
  <si>
    <t>NIVOIX ROBIC</t>
  </si>
  <si>
    <t>1 NUM GEO</t>
  </si>
  <si>
    <t>RD COMPOSITE</t>
  </si>
  <si>
    <t>ABI</t>
  </si>
  <si>
    <t>SIMON ENERGIE</t>
  </si>
  <si>
    <t>ETOILE BLEUE ST POL</t>
  </si>
  <si>
    <t>ETOILE BLEUE PLABENNEC</t>
  </si>
  <si>
    <t xml:space="preserve">1 message facturé, 2 offerts = 20 € </t>
  </si>
  <si>
    <t>50 € création LA je sais pas si on facture au client</t>
  </si>
  <si>
    <t>3 com simul en plus</t>
  </si>
  <si>
    <t>BOEDEC SCAER</t>
  </si>
  <si>
    <t>1 num géographique</t>
  </si>
  <si>
    <t>2 messages 40 € ht</t>
  </si>
  <si>
    <t>CAPITAL CONFIANCE COURTAGE</t>
  </si>
  <si>
    <t>CAPITALE CONFIANCE QUIMPER</t>
  </si>
  <si>
    <t>GREENFIELD</t>
  </si>
  <si>
    <t>VITEL MENUISERIE</t>
  </si>
  <si>
    <t>RRH</t>
  </si>
  <si>
    <t>2 messages</t>
  </si>
  <si>
    <t>BSE</t>
  </si>
  <si>
    <t>SARL ARHAN</t>
  </si>
  <si>
    <t>EAU ET RIVIERES</t>
  </si>
  <si>
    <t>NIVOIX ROBIC GRAND CHAMP</t>
  </si>
  <si>
    <t>GWENNELI</t>
  </si>
  <si>
    <t>ENFANCE ET PARTAGE</t>
  </si>
  <si>
    <t>LE MENN TP</t>
  </si>
  <si>
    <t>CONSOMMATION LOGEMENT</t>
  </si>
  <si>
    <t>KER AHES</t>
  </si>
  <si>
    <t>SPORT POUR TOUS</t>
  </si>
  <si>
    <t>OLEA JARDINS</t>
  </si>
  <si>
    <t>SUTRE AND CO</t>
  </si>
  <si>
    <t>UDP QUIMPER</t>
  </si>
  <si>
    <t>IDEALEX</t>
  </si>
  <si>
    <t>France BENEVOLAT</t>
  </si>
  <si>
    <t>SARL RIVOAL</t>
  </si>
  <si>
    <t>Accès étoile bleue ST POL</t>
  </si>
  <si>
    <t>OPTIC LAMY</t>
  </si>
  <si>
    <t>MAISON MEDICALE MENIER</t>
  </si>
  <si>
    <t>BARBOT VISION</t>
  </si>
  <si>
    <t>UDP PONT L'ABBE</t>
  </si>
  <si>
    <t>UNIVERS PEINTRE BREST</t>
  </si>
  <si>
    <t>LETOURNEUR</t>
  </si>
  <si>
    <t>10/09/20202</t>
  </si>
  <si>
    <t>SARL PORTOFINO</t>
  </si>
  <si>
    <t>WESTLECOM</t>
  </si>
  <si>
    <t>X</t>
  </si>
  <si>
    <t>125 € menier</t>
  </si>
  <si>
    <t>STM SAV</t>
  </si>
  <si>
    <t>MAIRIE DE PLONEVENTER</t>
  </si>
  <si>
    <t>retirer ito et portofino</t>
  </si>
  <si>
    <t>Bouygues 1 fid MISSION LOCALE 28,47 brut</t>
  </si>
  <si>
    <t>CAMPING CABELLOU</t>
  </si>
  <si>
    <t>SCP CARADEC</t>
  </si>
  <si>
    <t>OLIVIER ROHEE FINANCE</t>
  </si>
  <si>
    <t>ITO 2 mois offerts 48,30 * 2 à retirer en rem</t>
  </si>
  <si>
    <t>Portofino 2 mois offerts 51,80 * 2 à retirer en rem</t>
  </si>
  <si>
    <t>125  € de menier remboursé au client</t>
  </si>
  <si>
    <t>OLIVIER ROHEE : 100 € changement 2 postes</t>
  </si>
  <si>
    <t>OMNES LANDERNEAU</t>
  </si>
  <si>
    <t>OUEST COMMERCE</t>
  </si>
  <si>
    <t>OMNES LESNEVEN</t>
  </si>
  <si>
    <t>résil EDSI le 31/05</t>
  </si>
  <si>
    <t>2 MESSAGE TRS COURTAGE 100€</t>
  </si>
  <si>
    <t>VAUTHELIN</t>
  </si>
  <si>
    <t>KEROUAL</t>
  </si>
  <si>
    <t>ATP D'ARMOR</t>
  </si>
  <si>
    <t>RESTE UN ADSL</t>
  </si>
  <si>
    <t>Restera les dossiers qui seront activés sur juillet</t>
  </si>
  <si>
    <t>RP ANGLAIS</t>
  </si>
  <si>
    <t>RESTE UN ADSL à 40 € depuis 19/07 et 50 € de fms</t>
  </si>
  <si>
    <t>TSO résil 09/08</t>
  </si>
  <si>
    <t>KERAVAL QUIMPER</t>
  </si>
  <si>
    <t>KERAVAL SCAER</t>
  </si>
  <si>
    <t>BARBOT VISION PASSAGE EASY SIP</t>
  </si>
  <si>
    <t>OB EGA</t>
  </si>
  <si>
    <t>ajout 1 poste STM sav (10,76 € de port et 15 € de fms)</t>
  </si>
  <si>
    <t>ARVORING QUIMPER</t>
  </si>
  <si>
    <t xml:space="preserve">resil UDP Quimper au 30/09  </t>
  </si>
  <si>
    <t>STARTER</t>
  </si>
  <si>
    <t>OLIVIER ROHEE QUIMPER</t>
  </si>
  <si>
    <t>ARVORING CHATEAULIN</t>
  </si>
  <si>
    <t>Résil LE GOFF 31/10</t>
  </si>
  <si>
    <t>LUCIA GOUAREC</t>
  </si>
  <si>
    <t>COCORICO</t>
  </si>
  <si>
    <t>Erreur calcul</t>
  </si>
  <si>
    <t>ATELIER No5</t>
  </si>
  <si>
    <t>3 messages</t>
  </si>
  <si>
    <t>KENVAD</t>
  </si>
  <si>
    <t>ACTION SERRURERIE</t>
  </si>
  <si>
    <t>CHAPOTEL</t>
  </si>
  <si>
    <t>PAYS DU LEON LANDIVISIAU</t>
  </si>
  <si>
    <t>PAYS LEON MORLAIX</t>
  </si>
  <si>
    <t>LES AMITIES D'ARMOR</t>
  </si>
  <si>
    <t>OUEST FINANCE BREST</t>
  </si>
  <si>
    <t>PAYS D'IROISE</t>
  </si>
  <si>
    <t>OUEST FINANCE GUIPAVAS</t>
  </si>
  <si>
    <t>QUEMENEUR CHARPENTE</t>
  </si>
  <si>
    <t>QUEMENEUR MENUISERIE</t>
  </si>
  <si>
    <t>Contrat SW inclus</t>
  </si>
  <si>
    <t>SW/WT</t>
  </si>
  <si>
    <t>SW</t>
  </si>
  <si>
    <t>Montant Contrat SW inclus</t>
  </si>
  <si>
    <t>resil flux electric 30/04/2022</t>
  </si>
  <si>
    <t>COCORICO MESSAGE</t>
  </si>
  <si>
    <t>Frais activation ligne COCORICO</t>
  </si>
  <si>
    <t>NIVOIX BAUD</t>
  </si>
  <si>
    <t>LEFF AMOR</t>
  </si>
  <si>
    <t>IDEE DE SPA</t>
  </si>
  <si>
    <t>resil gouriou 30/05</t>
  </si>
  <si>
    <t>modification ABI sans adsl</t>
  </si>
  <si>
    <t>PHARMACIE DELANNOY</t>
  </si>
  <si>
    <t>4M ADSL</t>
  </si>
  <si>
    <t>EURL BRAULT</t>
  </si>
  <si>
    <t>SYNEMA</t>
  </si>
  <si>
    <t>Reprise 70% de 80€ de lucia et modif abo 100 au lieu de 110</t>
  </si>
  <si>
    <t>résil vitel 01/09</t>
  </si>
  <si>
    <t>2 messages capital confiance 42 rem</t>
  </si>
  <si>
    <t>résil le menn 31/09</t>
  </si>
  <si>
    <t>résil RRH 31/10</t>
  </si>
  <si>
    <t>résil capital confiance guipavas 01/10</t>
  </si>
  <si>
    <t>résil IDEALEX 31/10</t>
  </si>
  <si>
    <t>DATE D'ENVOI</t>
  </si>
  <si>
    <t>GLOAGUEN</t>
  </si>
  <si>
    <t>MAIRIE DE TELGRUC</t>
  </si>
  <si>
    <t>CORNOUAILLE RH</t>
  </si>
  <si>
    <t>ECMO INGENIERIE</t>
  </si>
  <si>
    <t>VAV KERORS</t>
  </si>
  <si>
    <t>KERNE</t>
  </si>
  <si>
    <t>JARDINET PROPIG</t>
  </si>
  <si>
    <t>ALEXA CONCARNEAU</t>
  </si>
  <si>
    <t>ATELIER DLB</t>
  </si>
  <si>
    <t>22/22/2022</t>
  </si>
  <si>
    <t>ATCB ADSL</t>
  </si>
  <si>
    <t>ATELIER No5 Data only</t>
  </si>
  <si>
    <t>NATURE CREATION</t>
  </si>
  <si>
    <t>SCDS</t>
  </si>
  <si>
    <t>ATELIER No5 EASY SIP</t>
  </si>
  <si>
    <t>BZH 2 messages 42€ de marge</t>
  </si>
  <si>
    <t>Keroual pas de facturation -18€</t>
  </si>
  <si>
    <t>NETWORTH</t>
  </si>
  <si>
    <t>SATEM</t>
  </si>
  <si>
    <t>CONSTRUCTION KREIZ BREIZH</t>
  </si>
  <si>
    <t>KERNE ELAGAGE</t>
  </si>
  <si>
    <t>CLEPER</t>
  </si>
  <si>
    <t>MARBERIC'H</t>
  </si>
  <si>
    <t xml:space="preserve">telgruc 2 mois offert -50€ </t>
  </si>
  <si>
    <t>BOEDEC LOUDEAC</t>
  </si>
  <si>
    <t>SAS BUCHOU</t>
  </si>
  <si>
    <t>4 SIM SOFTWHERE 11,6</t>
  </si>
  <si>
    <t>ASSAUT PROPRETE</t>
  </si>
  <si>
    <t>CACHE CŒUR</t>
  </si>
  <si>
    <t>D'HERVE MENUISERIE</t>
  </si>
  <si>
    <t>DOLMEN</t>
  </si>
  <si>
    <t>DATE LIVRAISON</t>
  </si>
  <si>
    <t>ROI MORVAN</t>
  </si>
  <si>
    <t>GAUTHIER FIFFUSION</t>
  </si>
  <si>
    <t>TRASPORTEURS FINISTERIENS</t>
  </si>
  <si>
    <t>DEMENAGEMENT JEZEQUEL</t>
  </si>
  <si>
    <t>MAIRIE DE MOTREFF</t>
  </si>
  <si>
    <t>Envoi sim 11,83</t>
  </si>
  <si>
    <t>Résil  OB EGA 31/01</t>
  </si>
  <si>
    <t>SYGESPRO</t>
  </si>
  <si>
    <t>LEFF ARMOR</t>
  </si>
  <si>
    <t>ASSERVA</t>
  </si>
  <si>
    <t>BENEFIQ'HABITAT</t>
  </si>
  <si>
    <t>PORTOFINO</t>
  </si>
  <si>
    <t>VERRE A VIN</t>
  </si>
  <si>
    <t>ROLLAND ENERGIE</t>
  </si>
  <si>
    <t>Message ROLLAND</t>
  </si>
  <si>
    <t>ENTRPRISE GUYOMARC'H</t>
  </si>
  <si>
    <t>FEDERATION DU BTP</t>
  </si>
  <si>
    <t>MENUISERIE BRETONNE</t>
  </si>
  <si>
    <t>NEO VRD</t>
  </si>
  <si>
    <t>FOLGAR COUVERTURE</t>
  </si>
  <si>
    <t>AMBULANCE KERAVAL</t>
  </si>
  <si>
    <t>STERVINOU</t>
  </si>
  <si>
    <t xml:space="preserve">Pas de facture KEROUAL - 18 € </t>
  </si>
  <si>
    <t>REST CONSTRUCTIONS</t>
  </si>
  <si>
    <t>AMBULANCE ETOILE BLEUE</t>
  </si>
  <si>
    <t>BLEUNIOU</t>
  </si>
  <si>
    <t>BODADOU</t>
  </si>
  <si>
    <t>KERNE QUIMPER</t>
  </si>
  <si>
    <t>BRO LEON</t>
  </si>
  <si>
    <t>Message MENIER</t>
  </si>
  <si>
    <t>Message VERRE A VIN</t>
  </si>
  <si>
    <t>Envoi sim SOFTWHERE</t>
  </si>
  <si>
    <t>Envoi SIM</t>
  </si>
  <si>
    <t>Sim cramées APPIC</t>
  </si>
  <si>
    <t xml:space="preserve">Envoi SIM </t>
  </si>
  <si>
    <t>CHANGEMENT TARIF BOEDEC BRIEC 50 € AU LIEU DE 70 à partir 02/2023</t>
  </si>
  <si>
    <t>TOTAL NET</t>
  </si>
  <si>
    <t>changement tarif VIDANGEUR 50 au lieu 90 au 01/03/2023</t>
  </si>
  <si>
    <t>art color passe EASY SIP à 25 au lieu de 60 01/04</t>
  </si>
  <si>
    <t>TALARMIN</t>
  </si>
  <si>
    <t>MECA 29</t>
  </si>
  <si>
    <t>S2P</t>
  </si>
  <si>
    <t>MESTRE FRERES</t>
  </si>
  <si>
    <t>LIZIARD ENVIRONNEMENT</t>
  </si>
  <si>
    <t>SAMSON AGRO</t>
  </si>
  <si>
    <t>LIZIARD TP</t>
  </si>
  <si>
    <t>LOGISCAP</t>
  </si>
  <si>
    <t>SATEM BRETAGNE</t>
  </si>
  <si>
    <t>GROUPE KERNE</t>
  </si>
  <si>
    <t>SATEM 44</t>
  </si>
  <si>
    <t>MCP2</t>
  </si>
  <si>
    <t>MCP3</t>
  </si>
  <si>
    <t>COMMUNE CLEDEN</t>
  </si>
  <si>
    <t>DEHIMI</t>
  </si>
  <si>
    <t>49,76 RECHARGE SOFTWHERE</t>
  </si>
  <si>
    <t>LE MESTRE FRERES</t>
  </si>
  <si>
    <t>200 SIMS</t>
  </si>
  <si>
    <t>ATELIE N° 5 - Poste SIP CONCARNEAU</t>
  </si>
  <si>
    <t>Manque Contrat SOFTWHERE/WT inclus</t>
  </si>
  <si>
    <t>Erreur Calcul</t>
  </si>
  <si>
    <t>20 SIMS BT</t>
  </si>
  <si>
    <t>BOEDEC PLEYBEN</t>
  </si>
  <si>
    <t>résil RD COMPOSITE 30/06</t>
  </si>
  <si>
    <t>POMPES FUNEBRE GALLO GUISCRIFF</t>
  </si>
  <si>
    <t>POMPES FUNEBRE GALLO FAOUET</t>
  </si>
  <si>
    <t>150 SIM</t>
  </si>
  <si>
    <t>HERROU PASSAGE 3 SIP 60€ AU LIEU FTTH 30/06</t>
  </si>
  <si>
    <t>ok</t>
  </si>
  <si>
    <t>CKB</t>
  </si>
  <si>
    <t>Marberic'h</t>
  </si>
  <si>
    <t>Philip Le Hir - LMNP</t>
  </si>
  <si>
    <t>BUCHOU</t>
  </si>
  <si>
    <t>SOFEMAT</t>
  </si>
  <si>
    <t>Transports Bourbon</t>
  </si>
  <si>
    <t>EURL LE PAGE</t>
  </si>
  <si>
    <t>3 MESSAGES KERAVAL</t>
  </si>
  <si>
    <t>Rattrapage action serrurerie</t>
  </si>
  <si>
    <t>LETOURNEUR PLOUGASTEL</t>
  </si>
  <si>
    <t>NIVOIX LOCMINE</t>
  </si>
  <si>
    <t>Rattrapage nivoix locmine</t>
  </si>
  <si>
    <t>TPES</t>
  </si>
  <si>
    <t>Rattrapage LE PAGE</t>
  </si>
  <si>
    <t>200 SIM</t>
  </si>
  <si>
    <t>resil nivoix grand champ vdsl 31/10</t>
  </si>
  <si>
    <t>Baisse du forfait à 25€ HT / REM SW 11,20€HT</t>
  </si>
  <si>
    <t>Ecart avec SW CRM -Facture à 60€ HT / REM SW 34,30€ HT</t>
  </si>
  <si>
    <t>Ecart avec SW CRM -Facture à 200€ HT/mois -  REM SW 133€ HT depuis Mai 2023</t>
  </si>
  <si>
    <t>Erreur de prorata depuis le début 26,90€ au lieu de 50,70€ HT</t>
  </si>
  <si>
    <t>Manque CSW 22,50€ HT / mois soit REM SW à 90,75€ HT</t>
  </si>
  <si>
    <t>ATELIER N° 5 CONCARNEAU</t>
  </si>
  <si>
    <t>Depuis 10/01/2023- Easy SIP 1 Poste</t>
  </si>
  <si>
    <t>Manque CSW 10€ HT / mois soit REM SW à 48,50€ HT</t>
  </si>
  <si>
    <t>Frais résiliation / Commentaires</t>
  </si>
  <si>
    <t>Montant HT SW</t>
  </si>
  <si>
    <t xml:space="preserve">Ecart </t>
  </si>
  <si>
    <t>Régularisation sur X Mois</t>
  </si>
  <si>
    <t>Manque Ajout de 2 postes au 01/04/2023 et facturation à 30€ Ht de plus / mois depuis 01/04/2023</t>
  </si>
  <si>
    <t>9,8 au lieu 24,5</t>
  </si>
  <si>
    <t>18,90 au lieu de 14,70</t>
  </si>
  <si>
    <t>132,3 au lieu de 29,4</t>
  </si>
  <si>
    <t>36,65 au lieu de 31,05</t>
  </si>
  <si>
    <t>Le client est facturé 140 € par mois, pas 160…35,95 au lieu de 26,9</t>
  </si>
  <si>
    <t>11 pas 9 encore la ligne SIP et 15€ d'activ de ligne + FMS</t>
  </si>
  <si>
    <t>ok manque 5 €</t>
  </si>
  <si>
    <t>résil trans iroise 31/10</t>
  </si>
  <si>
    <t>ADC</t>
  </si>
  <si>
    <t>pas facturé en septembre donc 33 jours de rem</t>
  </si>
  <si>
    <t>résil TREGUNC 31/10</t>
  </si>
  <si>
    <t>11.48</t>
  </si>
  <si>
    <t>Message TELGRUC</t>
  </si>
  <si>
    <t>POUPON FTTH</t>
  </si>
  <si>
    <t>FIIISH</t>
  </si>
  <si>
    <t>CICODES</t>
  </si>
  <si>
    <t>Reliquat CICODES - frais port</t>
  </si>
  <si>
    <t>Prorata</t>
  </si>
  <si>
    <t>Cornouaille</t>
  </si>
  <si>
    <t>sim</t>
  </si>
  <si>
    <t>port 12,92</t>
  </si>
  <si>
    <t>NOVELLO</t>
  </si>
  <si>
    <t xml:space="preserve">OMNES Landerneau </t>
  </si>
  <si>
    <t>Résil le 28/02</t>
  </si>
  <si>
    <t>HOLDING 3B FTTH</t>
  </si>
  <si>
    <t>BOUSSARD CARHAIX</t>
  </si>
  <si>
    <t>BOUSSARD ROSTENEN</t>
  </si>
  <si>
    <t>num geo</t>
  </si>
  <si>
    <t>SIP BOUSSARD du 28/11 au 29/02 90,16€ rem</t>
  </si>
  <si>
    <t>PORT 12,01 + 15€ activ - 4,22 prorata</t>
  </si>
  <si>
    <t>STM 130 au lieu de 190 fin 02</t>
  </si>
  <si>
    <t>ADC FTTH ST NAZAIRE</t>
  </si>
  <si>
    <t>HELLO ADSL</t>
  </si>
  <si>
    <t>HOLDING 3B SIP</t>
  </si>
  <si>
    <t>ALEXA poste SUP</t>
  </si>
  <si>
    <t>Déduire 50€ frais ADSL BOUSSARD CARHAIX et 28,5 payé en janvier alors que pas encore facturé, frais déjà pris en compte</t>
  </si>
  <si>
    <t>MAIRIE PLOVENVEZ envoi poste</t>
  </si>
  <si>
    <t>TPES port</t>
  </si>
  <si>
    <t>casque cabellou port</t>
  </si>
  <si>
    <t>3 messages Holding 3B 63€</t>
  </si>
  <si>
    <t>Message Kerven</t>
  </si>
  <si>
    <t xml:space="preserve">SIM </t>
  </si>
  <si>
    <t>Liquidation IDEE DE SPA facture mars HS -55€</t>
  </si>
  <si>
    <t>SVI softwhere</t>
  </si>
  <si>
    <t>SIM</t>
  </si>
  <si>
    <t>eSIM</t>
  </si>
  <si>
    <t>OUEST UP</t>
  </si>
  <si>
    <t>Idée de SPA KO abo</t>
  </si>
  <si>
    <t>Idée de SPA KO routeur + ONT</t>
  </si>
  <si>
    <t>LABOUS FTTH</t>
  </si>
  <si>
    <t xml:space="preserve">Message QUIMPER GAZ </t>
  </si>
  <si>
    <t>SIM BT</t>
  </si>
  <si>
    <t>Prorata ARHAN FTTH</t>
  </si>
  <si>
    <t>BRITANIA</t>
  </si>
  <si>
    <t>KERC'HROM</t>
  </si>
  <si>
    <t>COIC FIN 30/06</t>
  </si>
  <si>
    <t>Mise en service FTTH ATELIER No5</t>
  </si>
  <si>
    <t>FANEN</t>
  </si>
  <si>
    <t>BRIENCEAU</t>
  </si>
  <si>
    <t>ROEE QUIMPER FIN 30/06</t>
  </si>
  <si>
    <t>Résil KERAVAL SCAER 31/07</t>
  </si>
  <si>
    <t>Message BOEDEC</t>
  </si>
  <si>
    <t>Geste co ADC</t>
  </si>
  <si>
    <t>MB AGENCEMENT</t>
  </si>
  <si>
    <t>PHARMACIE DE KERVEN</t>
  </si>
  <si>
    <t>Moitié prorata KERVEN chacun</t>
  </si>
  <si>
    <t>50 SIM</t>
  </si>
  <si>
    <t xml:space="preserve">GWENNELI </t>
  </si>
  <si>
    <t>reprise 5 mois</t>
  </si>
  <si>
    <t>HELLO FTTH</t>
  </si>
  <si>
    <t>fdp casque mediviarme</t>
  </si>
  <si>
    <t>PHARMACIE DE KERVEN FTTH</t>
  </si>
  <si>
    <t>PHARMACIE DE KERVEN SIP</t>
  </si>
  <si>
    <t>Avoir GARIN</t>
  </si>
  <si>
    <t>SIM ALP</t>
  </si>
  <si>
    <t>100 SIM NETW</t>
  </si>
  <si>
    <t xml:space="preserve">SYGESPRO </t>
  </si>
  <si>
    <t>URBATYS</t>
  </si>
  <si>
    <t>GRIGNOU</t>
  </si>
  <si>
    <t>Résil pays leon morlaix 30/10</t>
  </si>
  <si>
    <t>GARIN</t>
  </si>
  <si>
    <t>rem facturé un mois trop tot</t>
  </si>
  <si>
    <t>50 SIM NETW</t>
  </si>
  <si>
    <t>Trop facturé abo 80% de 75€</t>
  </si>
  <si>
    <t xml:space="preserve">TECHNOVET </t>
  </si>
  <si>
    <t>BELLE ISLE EN TERRE MAIRIE</t>
  </si>
  <si>
    <t>BELLE ISLE EN TERRE ECOLE</t>
  </si>
  <si>
    <t>FMS ADSL BELLE ISLE</t>
  </si>
  <si>
    <t>50% du prorata BELLE ISLE</t>
  </si>
  <si>
    <t>GBK MESSAGES</t>
  </si>
  <si>
    <t>BE2TF</t>
  </si>
  <si>
    <t>SAV VERRE A VIN</t>
  </si>
  <si>
    <t>SIM ORANGE</t>
  </si>
  <si>
    <t>SYSGESPRO avoir 2 mois 10Go 18,90/mois</t>
  </si>
  <si>
    <t>TERRE ALTERNATIVE</t>
  </si>
  <si>
    <t>REPRISE  BOEDEC SCAER</t>
  </si>
  <si>
    <t>TECHNOVET</t>
  </si>
  <si>
    <t>SAV DOLMEN</t>
  </si>
  <si>
    <t>MARIE DE PLONEVEZ</t>
  </si>
  <si>
    <t>15 ESIM</t>
  </si>
  <si>
    <t>250 SIM</t>
  </si>
  <si>
    <t>STERLANE</t>
  </si>
  <si>
    <t>recyclage d'un accès à moi pas de prorata</t>
  </si>
  <si>
    <t>OLEA</t>
  </si>
  <si>
    <t>message DOLMEN</t>
  </si>
  <si>
    <t>MAIRIE CLEDEN FTTH</t>
  </si>
  <si>
    <t>MAIRIE CLEDEN SIP</t>
  </si>
  <si>
    <t>Reprise pays leon du 02/2025 à 04/2025</t>
  </si>
  <si>
    <t>Avoir LE FLOCH</t>
  </si>
  <si>
    <t>80% de l'avoir</t>
  </si>
  <si>
    <t>Manque com LE FLOCH du 01/08/24 à 04/2025 inclus</t>
  </si>
  <si>
    <t>ELENA FTTH</t>
  </si>
  <si>
    <t>ELENA SIP</t>
  </si>
  <si>
    <t>MOTREFF</t>
  </si>
  <si>
    <t>Rond point anglais résil 30/05</t>
  </si>
  <si>
    <t>Bardot résil fin 03/2025</t>
  </si>
  <si>
    <t>ta marge et 70% de PA + 70% routeur non restitué</t>
  </si>
  <si>
    <t>FMS BRAULT</t>
  </si>
  <si>
    <t>GAUTHIER DIFFUSION  FTTH</t>
  </si>
  <si>
    <t xml:space="preserve">Avoir HELLO </t>
  </si>
  <si>
    <t>Avoir NGON</t>
  </si>
  <si>
    <t>Avoir BARBOT</t>
  </si>
  <si>
    <t>Résil KENVAD fin 07/25</t>
  </si>
  <si>
    <t>Routeur pays du leon 70%</t>
  </si>
  <si>
    <t>FMS FTTH DOLMEN 70%</t>
  </si>
  <si>
    <t>FDP DOLMEN</t>
  </si>
  <si>
    <t>PAYS IROISE REPRISE REM JUIN +70% PA JUIN ET JUILLET</t>
  </si>
  <si>
    <t>BOUSSARD</t>
  </si>
  <si>
    <t>OUEST FINANCE REPRISE REM</t>
  </si>
  <si>
    <t>RENEVOT</t>
  </si>
  <si>
    <t>zanone</t>
  </si>
  <si>
    <t>avoir BLEUNIOU</t>
  </si>
  <si>
    <t>80% de 108€</t>
  </si>
  <si>
    <t>FDP POVOFOR</t>
  </si>
  <si>
    <t>ATELIER</t>
  </si>
  <si>
    <t>Avoir SATEM 80% 72,6</t>
  </si>
  <si>
    <t>Avoir ITEK 80% 63€</t>
  </si>
  <si>
    <t>Cons HF AVOR NETTOYAGE</t>
  </si>
  <si>
    <t>10 SIM BT</t>
  </si>
  <si>
    <t>10 SIM ORANGE</t>
  </si>
  <si>
    <t>Instant d'a mois offert (commmision + 70% de PA)</t>
  </si>
  <si>
    <t>Avoir SCDS (PA + ta Rem - ma Rem)</t>
  </si>
  <si>
    <t xml:space="preserve">5 routeurs + 1 ONT pour meilleur taux - 113 € pour le T53W </t>
  </si>
  <si>
    <t xml:space="preserve">POVOFOR </t>
  </si>
  <si>
    <t>BELLE ISLE FTTH</t>
  </si>
  <si>
    <t>BELLE ISLE ADSL</t>
  </si>
  <si>
    <t>APAC 29</t>
  </si>
  <si>
    <t>ROUDAULT</t>
  </si>
  <si>
    <t>ATP ARMOR</t>
  </si>
  <si>
    <t>Nombre mois max 12</t>
  </si>
  <si>
    <t>ELEOUET</t>
  </si>
  <si>
    <t>Régul ALRO</t>
  </si>
  <si>
    <t>Menez geste co</t>
  </si>
  <si>
    <t>JARDINET régul</t>
  </si>
  <si>
    <t>10 eSIM et 20 SIM BT</t>
  </si>
  <si>
    <t>FMS MOANA</t>
  </si>
  <si>
    <t>FMS OLEA</t>
  </si>
  <si>
    <t>OLEA FTTH</t>
  </si>
  <si>
    <t>MOA'NA FTTH</t>
  </si>
  <si>
    <t>GBK</t>
  </si>
  <si>
    <t>FMS GBK</t>
  </si>
  <si>
    <t>Régul Marberich</t>
  </si>
  <si>
    <t>Régul AM2C</t>
  </si>
  <si>
    <t>Livraison casque cornouaille</t>
  </si>
  <si>
    <t>10 SIM ALP</t>
  </si>
  <si>
    <t>Conso ligne voix seul 07 43 44 31 92</t>
  </si>
  <si>
    <t>Doublon FTTH POUPON</t>
  </si>
  <si>
    <t>Doublon FTTH POVOFOR</t>
  </si>
  <si>
    <t>Doublon ADSL KERAVAL</t>
  </si>
  <si>
    <t>KERAVAL ADSL</t>
  </si>
  <si>
    <t>972162719 doublon</t>
  </si>
  <si>
    <t>972162970 doublon</t>
  </si>
  <si>
    <t>0972195443</t>
  </si>
  <si>
    <t>0972195427</t>
  </si>
  <si>
    <t>0972195436</t>
  </si>
  <si>
    <t>0972195446</t>
  </si>
  <si>
    <t>0972195459</t>
  </si>
  <si>
    <t>FMS ABI</t>
  </si>
  <si>
    <t>GUYOMARC'H</t>
  </si>
  <si>
    <t>FMS GUYOMARC'H</t>
  </si>
  <si>
    <t>FDP QUEMENEUR</t>
  </si>
  <si>
    <t>BOEDEC CARHAIX</t>
  </si>
  <si>
    <t>Régul LE FLOCHE</t>
  </si>
  <si>
    <t>Régul LE GOFF</t>
  </si>
  <si>
    <t>GAUTHIER DIFFUSION SIP</t>
  </si>
  <si>
    <t>GAUTHIER DIFFUSION FTTH</t>
  </si>
  <si>
    <t>FMS BOUSSARD</t>
  </si>
  <si>
    <t>FDP BOUSSARD</t>
  </si>
  <si>
    <t>MENUISRIE LE CORRE</t>
  </si>
  <si>
    <t>FMS LE CORRE</t>
  </si>
  <si>
    <t>7 Promo FTTH -50% 6premiers mois (j'ai oublié le mois dernier sur les accès mis en service</t>
  </si>
  <si>
    <t>Total</t>
  </si>
  <si>
    <t>FDP et activ ligne non facturées du mois</t>
  </si>
  <si>
    <t>Résil FFTH MEDIVIARME</t>
  </si>
  <si>
    <t>Résil ATCB</t>
  </si>
  <si>
    <t>Résil HOLLEN</t>
  </si>
  <si>
    <t>Régul PAYS COB</t>
  </si>
  <si>
    <t>Régul Motreff</t>
  </si>
  <si>
    <t>Régul appui sante cob</t>
  </si>
  <si>
    <t>0757608568 ouvert au compteur NBB au lieu de 1Go HF</t>
  </si>
  <si>
    <t>30 SIM BT</t>
  </si>
  <si>
    <t>MEDIVIARME</t>
  </si>
  <si>
    <t>Régul 0676687922</t>
  </si>
  <si>
    <t>Régul ASSAUT PROPRETE</t>
  </si>
  <si>
    <t>Régul 0785505300</t>
  </si>
  <si>
    <t xml:space="preserve">Régul 0757688546 </t>
  </si>
  <si>
    <t xml:space="preserve">Régul 0750755986 </t>
  </si>
  <si>
    <t>3 casques</t>
  </si>
  <si>
    <t>APAC29</t>
  </si>
  <si>
    <t>APPUI SANTE</t>
  </si>
  <si>
    <t>Résil OUEST COMMERCES</t>
  </si>
  <si>
    <t>Routeur STUDIO EN TETE</t>
  </si>
  <si>
    <t>PISCINE SPA SIP</t>
  </si>
  <si>
    <t>LOUARGAT SIP</t>
  </si>
  <si>
    <t>LOUARGAT FTTH</t>
  </si>
  <si>
    <t>Promo FTTH LOUARGAT +FMS</t>
  </si>
  <si>
    <t>SN BRETAGNE METALLERIE</t>
  </si>
  <si>
    <t>Promo FTTH BRETAGNE METALLERIE +FMS</t>
  </si>
  <si>
    <t>Promo FTTH APPUI SANTE +FMS</t>
  </si>
  <si>
    <t>Avoir CLEPER</t>
  </si>
  <si>
    <t xml:space="preserve">Résil sutre ZYXEL et 1 facture impayée </t>
  </si>
  <si>
    <t>EASY SIP atp armor</t>
  </si>
  <si>
    <t>ATP D'ARMOR FTTH</t>
  </si>
  <si>
    <t>ATP 3 mois gratuits</t>
  </si>
  <si>
    <t>FMS ATP</t>
  </si>
  <si>
    <t>CARHAISIENNE DE CONSTRUCTION</t>
  </si>
  <si>
    <t>Routeur UDP liquidation 70/30</t>
  </si>
  <si>
    <t>TANNEAU</t>
  </si>
  <si>
    <t>GLOAGUEN frais mise en service et 3 mois gratuit</t>
  </si>
  <si>
    <t>FDP OPTIC</t>
  </si>
  <si>
    <t>OPTIC LAMY frais mise en service et 3 mois gratuit</t>
  </si>
  <si>
    <t>KERAVAL FTTH QUIMPER</t>
  </si>
  <si>
    <t>KERAVAL frais mise en service et 3 mois gratuit</t>
  </si>
  <si>
    <t>07000008821879 HF</t>
  </si>
  <si>
    <t>COMMANDE SIM</t>
  </si>
  <si>
    <t>Resil COCORICO</t>
  </si>
  <si>
    <t>Avoir Bodadou</t>
  </si>
  <si>
    <t>delannoy</t>
  </si>
  <si>
    <t>FR ENVIRONNEMENT</t>
  </si>
  <si>
    <t>LE FLOCH</t>
  </si>
  <si>
    <t>CONNEXTOO HOLDNG 2B</t>
  </si>
  <si>
    <t>CONNEXTOO IROISE IMMO</t>
  </si>
  <si>
    <t>Type</t>
  </si>
  <si>
    <t>Internet</t>
  </si>
  <si>
    <t>Sous-Types</t>
  </si>
  <si>
    <t>ADSL</t>
  </si>
  <si>
    <t>NOM CLIENT</t>
  </si>
  <si>
    <t>Fixe</t>
  </si>
  <si>
    <t>Easy SIP</t>
  </si>
  <si>
    <t>Fixe et Internet</t>
  </si>
  <si>
    <t>Marge Corrigée</t>
  </si>
  <si>
    <t>Delta Rémunération existante</t>
  </si>
  <si>
    <t>FTTH</t>
  </si>
  <si>
    <t>Nbre de Lignes Easy SIP</t>
  </si>
  <si>
    <t>FTTH + Easy SIP</t>
  </si>
  <si>
    <t>Prix achat Corrigé Easy SIP</t>
  </si>
  <si>
    <t>Commentaires</t>
  </si>
  <si>
    <t>Prix Achat Accès Internet</t>
  </si>
  <si>
    <t>ADSL + Easy SIP</t>
  </si>
  <si>
    <t>Lignes compteur</t>
  </si>
  <si>
    <t>Offre Express</t>
  </si>
  <si>
    <t>VDSL + Easy SIP</t>
  </si>
  <si>
    <t>Prix VDSL ?</t>
  </si>
  <si>
    <t>FTTH + SVI + Easy SIP</t>
  </si>
  <si>
    <t>ATP D'ARMOR EASY SIP</t>
  </si>
  <si>
    <t>FTTH APPLIWAVE</t>
  </si>
  <si>
    <t>REGUL</t>
  </si>
  <si>
    <t>FFTH</t>
  </si>
  <si>
    <t>JO LE BOEDEC PLEYBEN</t>
  </si>
  <si>
    <t>JO LE BOEDEC SCAER</t>
  </si>
  <si>
    <t>STERLANE RH</t>
  </si>
  <si>
    <t>FANEN - FTTH</t>
  </si>
  <si>
    <t>FIXE COMPTEUR OFFERT ?</t>
  </si>
  <si>
    <t>INNOVATIVE TRANSPORT ORGANISATION (I-TO)</t>
  </si>
  <si>
    <t>GBK - FTTH</t>
  </si>
  <si>
    <t>GBK - SIP</t>
  </si>
  <si>
    <t>FTTH + Easy SIP + Extension Comm</t>
  </si>
  <si>
    <t>1 extension simultanée supp.</t>
  </si>
  <si>
    <t>ADSL Supprimé récemment</t>
  </si>
  <si>
    <t>ID SOFTWHERE</t>
  </si>
  <si>
    <t>CC CFAST</t>
  </si>
  <si>
    <t>Sans Contrat SW</t>
  </si>
  <si>
    <t>Pas d'accès aux factures</t>
  </si>
  <si>
    <t>Pas de contrôle</t>
  </si>
  <si>
    <t>2 FTTH + Easy SIP</t>
  </si>
  <si>
    <t>2 FTTH</t>
  </si>
  <si>
    <t>ACTEVA ECHIROLLES - CESHF 1</t>
  </si>
  <si>
    <t>ACTEVA MARSEILLE - CESHF 1</t>
  </si>
  <si>
    <r>
      <t xml:space="preserve">Easy SIP + </t>
    </r>
    <r>
      <rPr>
        <b/>
        <sz val="11"/>
        <color rgb="FFFF0000"/>
        <rFont val="Calibri"/>
        <family val="2"/>
        <scheme val="minor"/>
      </rPr>
      <t>Fax To Mail</t>
    </r>
  </si>
  <si>
    <r>
      <t xml:space="preserve">ADSL + Easy SIP + </t>
    </r>
    <r>
      <rPr>
        <b/>
        <sz val="11"/>
        <color rgb="FFFF0000"/>
        <rFont val="Calibri"/>
        <family val="2"/>
        <scheme val="minor"/>
      </rPr>
      <t>Fax To Mail</t>
    </r>
  </si>
  <si>
    <t>SAS BUCHOU - SARL PORTOFINO</t>
  </si>
  <si>
    <t>VDSL</t>
  </si>
  <si>
    <t>Lignes Compteur</t>
  </si>
  <si>
    <t>JO LE BOEDEC BRIEC - (GRAND CHAMP)</t>
  </si>
  <si>
    <t>NIVOIX ROBIC - BAUD</t>
  </si>
  <si>
    <t>JO LE BOEDEC BINIC - LEFF ARMOR</t>
  </si>
  <si>
    <t>Résilié</t>
  </si>
  <si>
    <t>JO LE BOEDEC PONTIVY (BURENO)</t>
  </si>
  <si>
    <t>JO LE BOEDEC PONTIVY (LA NIEL)</t>
  </si>
  <si>
    <t>JO LE BOEDEC PONTIVY (LOUDEAC)</t>
  </si>
</sst>
</file>

<file path=xl/styles.xml><?xml version="1.0" encoding="utf-8"?>
<styleSheet xmlns="http://schemas.openxmlformats.org/spreadsheetml/2006/main">
  <numFmts count="4">
    <numFmt numFmtId="6" formatCode="#,##0\ &quot;€&quot;;[Red]\-#,##0\ &quot;€&quot;"/>
    <numFmt numFmtId="8" formatCode="#,##0.00\ &quot;€&quot;;[Red]\-#,##0.00\ &quot;€&quot;"/>
    <numFmt numFmtId="164" formatCode="#,##0.00\ &quot;€&quot;"/>
    <numFmt numFmtId="165" formatCode="#,##0.00\ _€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9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wrapText="1"/>
    </xf>
    <xf numFmtId="14" fontId="0" fillId="0" borderId="1" xfId="0" applyNumberFormat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16" fontId="0" fillId="0" borderId="1" xfId="0" applyNumberFormat="1" applyBorder="1"/>
    <xf numFmtId="164" fontId="1" fillId="0" borderId="2" xfId="0" applyNumberFormat="1" applyFont="1" applyBorder="1"/>
    <xf numFmtId="0" fontId="0" fillId="0" borderId="3" xfId="0" applyBorder="1"/>
    <xf numFmtId="0" fontId="0" fillId="4" borderId="1" xfId="0" applyFill="1" applyBorder="1"/>
    <xf numFmtId="14" fontId="0" fillId="4" borderId="1" xfId="0" applyNumberFormat="1" applyFill="1" applyBorder="1"/>
    <xf numFmtId="164" fontId="0" fillId="4" borderId="1" xfId="0" applyNumberFormat="1" applyFill="1" applyBorder="1"/>
    <xf numFmtId="14" fontId="0" fillId="4" borderId="1" xfId="0" applyNumberFormat="1" applyFill="1" applyBorder="1" applyAlignment="1">
      <alignment horizontal="right"/>
    </xf>
    <xf numFmtId="0" fontId="0" fillId="0" borderId="4" xfId="0" applyBorder="1" applyAlignment="1">
      <alignment horizontal="center" wrapText="1"/>
    </xf>
    <xf numFmtId="14" fontId="0" fillId="0" borderId="0" xfId="0" applyNumberFormat="1"/>
    <xf numFmtId="164" fontId="0" fillId="2" borderId="0" xfId="0" applyNumberFormat="1" applyFill="1"/>
    <xf numFmtId="164" fontId="0" fillId="3" borderId="0" xfId="0" applyNumberFormat="1" applyFill="1"/>
    <xf numFmtId="164" fontId="0" fillId="3" borderId="2" xfId="0" applyNumberFormat="1" applyFill="1" applyBorder="1"/>
    <xf numFmtId="0" fontId="0" fillId="0" borderId="4" xfId="0" applyBorder="1"/>
    <xf numFmtId="0" fontId="2" fillId="0" borderId="0" xfId="0" applyFont="1"/>
    <xf numFmtId="0" fontId="0" fillId="5" borderId="1" xfId="0" applyFill="1" applyBorder="1"/>
    <xf numFmtId="0" fontId="0" fillId="6" borderId="1" xfId="0" applyFill="1" applyBorder="1"/>
    <xf numFmtId="0" fontId="0" fillId="5" borderId="3" xfId="0" applyFill="1" applyBorder="1"/>
    <xf numFmtId="14" fontId="0" fillId="0" borderId="3" xfId="0" applyNumberFormat="1" applyBorder="1"/>
    <xf numFmtId="164" fontId="0" fillId="2" borderId="3" xfId="0" applyNumberFormat="1" applyFill="1" applyBorder="1"/>
    <xf numFmtId="164" fontId="0" fillId="3" borderId="4" xfId="0" applyNumberFormat="1" applyFill="1" applyBorder="1"/>
    <xf numFmtId="164" fontId="0" fillId="3" borderId="3" xfId="0" applyNumberFormat="1" applyFill="1" applyBorder="1"/>
    <xf numFmtId="0" fontId="0" fillId="6" borderId="0" xfId="0" applyFill="1"/>
    <xf numFmtId="164" fontId="1" fillId="0" borderId="0" xfId="0" applyNumberFormat="1" applyFont="1"/>
    <xf numFmtId="164" fontId="0" fillId="6" borderId="0" xfId="0" applyNumberFormat="1" applyFill="1"/>
    <xf numFmtId="14" fontId="0" fillId="0" borderId="5" xfId="0" applyNumberFormat="1" applyBorder="1"/>
    <xf numFmtId="16" fontId="0" fillId="4" borderId="1" xfId="0" applyNumberFormat="1" applyFill="1" applyBorder="1"/>
    <xf numFmtId="164" fontId="0" fillId="4" borderId="2" xfId="0" applyNumberFormat="1" applyFill="1" applyBorder="1"/>
    <xf numFmtId="164" fontId="0" fillId="0" borderId="4" xfId="0" applyNumberFormat="1" applyBorder="1"/>
    <xf numFmtId="14" fontId="0" fillId="6" borderId="1" xfId="0" applyNumberFormat="1" applyFill="1" applyBorder="1"/>
    <xf numFmtId="14" fontId="0" fillId="6" borderId="0" xfId="0" applyNumberFormat="1" applyFill="1"/>
    <xf numFmtId="164" fontId="0" fillId="2" borderId="4" xfId="0" applyNumberFormat="1" applyFill="1" applyBorder="1"/>
    <xf numFmtId="0" fontId="0" fillId="4" borderId="3" xfId="0" applyFill="1" applyBorder="1"/>
    <xf numFmtId="0" fontId="0" fillId="6" borderId="3" xfId="0" applyFill="1" applyBorder="1"/>
    <xf numFmtId="0" fontId="0" fillId="2" borderId="1" xfId="0" applyFill="1" applyBorder="1"/>
    <xf numFmtId="9" fontId="0" fillId="0" borderId="0" xfId="0" applyNumberFormat="1"/>
    <xf numFmtId="6" fontId="0" fillId="0" borderId="0" xfId="0" applyNumberFormat="1"/>
    <xf numFmtId="164" fontId="0" fillId="3" borderId="1" xfId="0" quotePrefix="1" applyNumberFormat="1" applyFill="1" applyBorder="1"/>
    <xf numFmtId="0" fontId="0" fillId="7" borderId="1" xfId="0" applyFill="1" applyBorder="1"/>
    <xf numFmtId="14" fontId="0" fillId="6" borderId="5" xfId="0" applyNumberFormat="1" applyFill="1" applyBorder="1"/>
    <xf numFmtId="0" fontId="0" fillId="6" borderId="4" xfId="0" applyFill="1" applyBorder="1"/>
    <xf numFmtId="164" fontId="1" fillId="0" borderId="6" xfId="0" applyNumberFormat="1" applyFont="1" applyBorder="1"/>
    <xf numFmtId="0" fontId="0" fillId="2" borderId="3" xfId="0" applyFill="1" applyBorder="1"/>
    <xf numFmtId="164" fontId="0" fillId="0" borderId="1" xfId="0" applyNumberFormat="1" applyBorder="1"/>
    <xf numFmtId="164" fontId="1" fillId="0" borderId="1" xfId="0" applyNumberFormat="1" applyFont="1" applyBorder="1"/>
    <xf numFmtId="164" fontId="0" fillId="6" borderId="1" xfId="0" applyNumberFormat="1" applyFill="1" applyBorder="1"/>
    <xf numFmtId="0" fontId="0" fillId="7" borderId="3" xfId="0" applyFill="1" applyBorder="1"/>
    <xf numFmtId="16" fontId="0" fillId="0" borderId="0" xfId="0" applyNumberFormat="1"/>
    <xf numFmtId="164" fontId="0" fillId="4" borderId="3" xfId="0" applyNumberFormat="1" applyFill="1" applyBorder="1"/>
    <xf numFmtId="0" fontId="0" fillId="6" borderId="5" xfId="0" applyFill="1" applyBorder="1"/>
    <xf numFmtId="164" fontId="0" fillId="7" borderId="1" xfId="0" applyNumberFormat="1" applyFill="1" applyBorder="1"/>
    <xf numFmtId="14" fontId="0" fillId="6" borderId="3" xfId="0" applyNumberFormat="1" applyFill="1" applyBorder="1"/>
    <xf numFmtId="164" fontId="0" fillId="0" borderId="3" xfId="0" applyNumberFormat="1" applyBorder="1"/>
    <xf numFmtId="164" fontId="1" fillId="3" borderId="1" xfId="0" applyNumberFormat="1" applyFont="1" applyFill="1" applyBorder="1"/>
    <xf numFmtId="165" fontId="0" fillId="0" borderId="1" xfId="0" applyNumberFormat="1" applyBorder="1" applyAlignment="1">
      <alignment horizontal="center" wrapText="1"/>
    </xf>
    <xf numFmtId="165" fontId="0" fillId="3" borderId="1" xfId="0" applyNumberFormat="1" applyFill="1" applyBorder="1"/>
    <xf numFmtId="165" fontId="0" fillId="3" borderId="2" xfId="0" applyNumberFormat="1" applyFill="1" applyBorder="1"/>
    <xf numFmtId="165" fontId="0" fillId="3" borderId="4" xfId="0" applyNumberFormat="1" applyFill="1" applyBorder="1"/>
    <xf numFmtId="165" fontId="0" fillId="3" borderId="3" xfId="0" applyNumberFormat="1" applyFill="1" applyBorder="1"/>
    <xf numFmtId="165" fontId="1" fillId="3" borderId="1" xfId="0" applyNumberFormat="1" applyFont="1" applyFill="1" applyBorder="1"/>
    <xf numFmtId="165" fontId="0" fillId="0" borderId="0" xfId="0" applyNumberFormat="1"/>
    <xf numFmtId="165" fontId="1" fillId="0" borderId="0" xfId="0" applyNumberFormat="1" applyFont="1"/>
    <xf numFmtId="165" fontId="0" fillId="0" borderId="2" xfId="0" applyNumberFormat="1" applyBorder="1"/>
    <xf numFmtId="8" fontId="0" fillId="0" borderId="0" xfId="0" applyNumberFormat="1"/>
    <xf numFmtId="164" fontId="1" fillId="3" borderId="2" xfId="0" applyNumberFormat="1" applyFont="1" applyFill="1" applyBorder="1"/>
    <xf numFmtId="0" fontId="0" fillId="2" borderId="0" xfId="0" applyFill="1"/>
    <xf numFmtId="0" fontId="0" fillId="4" borderId="0" xfId="0" applyFill="1"/>
    <xf numFmtId="0" fontId="0" fillId="0" borderId="5" xfId="0" applyBorder="1"/>
    <xf numFmtId="164" fontId="0" fillId="3" borderId="3" xfId="0" quotePrefix="1" applyNumberFormat="1" applyFill="1" applyBorder="1"/>
    <xf numFmtId="0" fontId="0" fillId="7" borderId="5" xfId="0" applyFill="1" applyBorder="1"/>
    <xf numFmtId="0" fontId="0" fillId="7" borderId="0" xfId="0" applyFill="1"/>
    <xf numFmtId="0" fontId="0" fillId="2" borderId="4" xfId="0" applyFill="1" applyBorder="1"/>
    <xf numFmtId="164" fontId="1" fillId="3" borderId="3" xfId="0" applyNumberFormat="1" applyFont="1" applyFill="1" applyBorder="1"/>
    <xf numFmtId="164" fontId="0" fillId="4" borderId="0" xfId="0" applyNumberFormat="1" applyFill="1"/>
    <xf numFmtId="164" fontId="0" fillId="7" borderId="0" xfId="0" applyNumberFormat="1" applyFill="1"/>
    <xf numFmtId="165" fontId="0" fillId="3" borderId="0" xfId="0" applyNumberFormat="1" applyFill="1"/>
    <xf numFmtId="165" fontId="1" fillId="3" borderId="0" xfId="0" applyNumberFormat="1" applyFont="1" applyFill="1"/>
    <xf numFmtId="165" fontId="1" fillId="3" borderId="2" xfId="0" applyNumberFormat="1" applyFont="1" applyFill="1" applyBorder="1"/>
    <xf numFmtId="164" fontId="0" fillId="7" borderId="2" xfId="0" applyNumberFormat="1" applyFill="1" applyBorder="1"/>
    <xf numFmtId="164" fontId="1" fillId="3" borderId="4" xfId="0" applyNumberFormat="1" applyFont="1" applyFill="1" applyBorder="1"/>
    <xf numFmtId="164" fontId="0" fillId="7" borderId="3" xfId="0" applyNumberFormat="1" applyFill="1" applyBorder="1"/>
    <xf numFmtId="164" fontId="0" fillId="7" borderId="4" xfId="0" applyNumberFormat="1" applyFill="1" applyBorder="1"/>
    <xf numFmtId="164" fontId="4" fillId="7" borderId="1" xfId="0" applyNumberFormat="1" applyFont="1" applyFill="1" applyBorder="1"/>
    <xf numFmtId="164" fontId="1" fillId="7" borderId="2" xfId="0" applyNumberFormat="1" applyFont="1" applyFill="1" applyBorder="1"/>
    <xf numFmtId="164" fontId="1" fillId="4" borderId="2" xfId="0" applyNumberFormat="1" applyFont="1" applyFill="1" applyBorder="1"/>
    <xf numFmtId="165" fontId="1" fillId="3" borderId="3" xfId="0" applyNumberFormat="1" applyFont="1" applyFill="1" applyBorder="1"/>
    <xf numFmtId="165" fontId="1" fillId="3" borderId="4" xfId="0" applyNumberFormat="1" applyFont="1" applyFill="1" applyBorder="1"/>
    <xf numFmtId="164" fontId="0" fillId="2" borderId="2" xfId="0" applyNumberFormat="1" applyFill="1" applyBorder="1"/>
    <xf numFmtId="164" fontId="1" fillId="4" borderId="1" xfId="0" applyNumberFormat="1" applyFont="1" applyFill="1" applyBorder="1"/>
    <xf numFmtId="164" fontId="2" fillId="0" borderId="0" xfId="0" applyNumberFormat="1" applyFont="1"/>
    <xf numFmtId="164" fontId="2" fillId="2" borderId="0" xfId="0" applyNumberFormat="1" applyFont="1" applyFill="1"/>
    <xf numFmtId="164" fontId="1" fillId="7" borderId="1" xfId="0" applyNumberFormat="1" applyFont="1" applyFill="1" applyBorder="1"/>
    <xf numFmtId="164" fontId="1" fillId="2" borderId="1" xfId="0" applyNumberFormat="1" applyFont="1" applyFill="1" applyBorder="1"/>
    <xf numFmtId="0" fontId="1" fillId="2" borderId="0" xfId="0" applyFont="1" applyFill="1" applyAlignment="1">
      <alignment horizontal="center" vertical="center"/>
    </xf>
    <xf numFmtId="164" fontId="1" fillId="7" borderId="4" xfId="0" applyNumberFormat="1" applyFont="1" applyFill="1" applyBorder="1"/>
    <xf numFmtId="2" fontId="0" fillId="0" borderId="1" xfId="0" applyNumberFormat="1" applyBorder="1" applyAlignment="1">
      <alignment horizontal="center" wrapText="1"/>
    </xf>
    <xf numFmtId="2" fontId="0" fillId="2" borderId="1" xfId="0" applyNumberFormat="1" applyFill="1" applyBorder="1"/>
    <xf numFmtId="2" fontId="0" fillId="2" borderId="3" xfId="0" applyNumberFormat="1" applyFill="1" applyBorder="1"/>
    <xf numFmtId="2" fontId="0" fillId="6" borderId="0" xfId="0" applyNumberFormat="1" applyFill="1"/>
    <xf numFmtId="2" fontId="0" fillId="0" borderId="0" xfId="0" applyNumberFormat="1"/>
    <xf numFmtId="2" fontId="0" fillId="4" borderId="1" xfId="0" applyNumberFormat="1" applyFill="1" applyBorder="1"/>
    <xf numFmtId="165" fontId="0" fillId="4" borderId="1" xfId="0" applyNumberFormat="1" applyFill="1" applyBorder="1"/>
    <xf numFmtId="4" fontId="0" fillId="0" borderId="0" xfId="0" applyNumberFormat="1"/>
    <xf numFmtId="2" fontId="0" fillId="2" borderId="0" xfId="0" applyNumberForma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9" borderId="1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1" fillId="10" borderId="1" xfId="0" applyFont="1" applyFill="1" applyBorder="1" applyAlignment="1">
      <alignment horizontal="center" vertical="center" wrapText="1"/>
    </xf>
    <xf numFmtId="14" fontId="0" fillId="8" borderId="1" xfId="0" applyNumberFormat="1" applyFill="1" applyBorder="1"/>
    <xf numFmtId="165" fontId="0" fillId="4" borderId="2" xfId="0" applyNumberFormat="1" applyFill="1" applyBorder="1"/>
    <xf numFmtId="0" fontId="1" fillId="11" borderId="1" xfId="0" applyFont="1" applyFill="1" applyBorder="1" applyAlignment="1">
      <alignment horizontal="center" vertical="center" wrapText="1"/>
    </xf>
    <xf numFmtId="164" fontId="0" fillId="11" borderId="1" xfId="0" applyNumberFormat="1" applyFill="1" applyBorder="1"/>
    <xf numFmtId="0" fontId="0" fillId="11" borderId="1" xfId="0" applyFill="1" applyBorder="1"/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12" borderId="1" xfId="0" applyFill="1" applyBorder="1"/>
    <xf numFmtId="0" fontId="0" fillId="12" borderId="3" xfId="0" applyFill="1" applyBorder="1"/>
    <xf numFmtId="0" fontId="1" fillId="12" borderId="1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6" fontId="0" fillId="0" borderId="0" xfId="0" applyNumberFormat="1" applyAlignment="1">
      <alignment horizontal="center"/>
    </xf>
    <xf numFmtId="164" fontId="0" fillId="0" borderId="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1" fillId="4" borderId="3" xfId="0" applyNumberFormat="1" applyFont="1" applyFill="1" applyBorder="1"/>
    <xf numFmtId="0" fontId="0" fillId="2" borderId="2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1" fillId="4" borderId="4" xfId="0" applyNumberFormat="1" applyFont="1" applyFill="1" applyBorder="1"/>
    <xf numFmtId="164" fontId="0" fillId="11" borderId="4" xfId="0" applyNumberFormat="1" applyFill="1" applyBorder="1"/>
    <xf numFmtId="0" fontId="4" fillId="4" borderId="1" xfId="0" applyFon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/>
    <xf numFmtId="0" fontId="0" fillId="6" borderId="3" xfId="0" applyFill="1" applyBorder="1" applyAlignment="1">
      <alignment horizontal="center" vertical="center"/>
    </xf>
    <xf numFmtId="164" fontId="0" fillId="5" borderId="2" xfId="0" applyNumberFormat="1" applyFill="1" applyBorder="1"/>
    <xf numFmtId="164" fontId="0" fillId="5" borderId="4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worksheet" Target="worksheets/sheet102.xml"/><Relationship Id="rId110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topLeftCell="A19" workbookViewId="0">
      <selection activeCell="H34" sqref="H34"/>
    </sheetView>
  </sheetViews>
  <sheetFormatPr baseColWidth="10" defaultRowHeight="15"/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27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2" t="s">
        <v>21</v>
      </c>
      <c r="B13" s="4">
        <v>42563</v>
      </c>
      <c r="C13" s="4">
        <v>42592</v>
      </c>
      <c r="D13" s="5"/>
      <c r="E13" s="5">
        <v>8.5</v>
      </c>
      <c r="F13" s="5">
        <f>25*28/30</f>
        <v>23.333333333333332</v>
      </c>
      <c r="G13" s="5"/>
      <c r="H13" s="5"/>
      <c r="I13" s="6">
        <v>130</v>
      </c>
      <c r="J13" s="6">
        <v>25</v>
      </c>
      <c r="K13" s="6">
        <f t="shared" si="0"/>
        <v>73.5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19" t="s">
        <v>38</v>
      </c>
      <c r="B26" s="15">
        <v>43081</v>
      </c>
      <c r="C26" s="15">
        <v>43103</v>
      </c>
      <c r="D26" s="16">
        <v>-100</v>
      </c>
      <c r="E26" s="16">
        <v>6.83</v>
      </c>
      <c r="F26" s="16">
        <v>12.5</v>
      </c>
      <c r="G26" s="16"/>
      <c r="H26" s="16"/>
      <c r="I26" s="17">
        <v>50</v>
      </c>
      <c r="J26" s="18">
        <v>25</v>
      </c>
      <c r="K26" s="18">
        <f t="shared" si="0"/>
        <v>17.5</v>
      </c>
    </row>
    <row r="27" spans="1:11">
      <c r="A27" s="19" t="s">
        <v>39</v>
      </c>
      <c r="B27" s="15">
        <v>43081</v>
      </c>
      <c r="C27" s="15">
        <v>43109</v>
      </c>
      <c r="D27" s="16">
        <v>-550</v>
      </c>
      <c r="E27" s="16">
        <v>9.83</v>
      </c>
      <c r="F27" s="16">
        <f>36/30*28</f>
        <v>33.6</v>
      </c>
      <c r="G27" s="16"/>
      <c r="H27" s="16"/>
      <c r="I27" s="17">
        <v>120</v>
      </c>
      <c r="J27" s="18">
        <v>36</v>
      </c>
      <c r="K27" s="18">
        <f t="shared" si="0"/>
        <v>58.8</v>
      </c>
    </row>
    <row r="28" spans="1:11">
      <c r="D28" s="1"/>
      <c r="E28" s="1"/>
      <c r="F28" s="1"/>
      <c r="G28" s="1"/>
      <c r="H28" s="1"/>
      <c r="I28" s="1"/>
      <c r="J28" s="8" t="s">
        <v>4</v>
      </c>
      <c r="K28" s="8">
        <f>SUM(K2:K27)</f>
        <v>859.24999999999989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9"/>
  <sheetViews>
    <sheetView topLeftCell="A10" workbookViewId="0">
      <selection activeCell="D27" sqref="D27"/>
    </sheetView>
  </sheetViews>
  <sheetFormatPr baseColWidth="10" defaultColWidth="9.140625" defaultRowHeight="15"/>
  <cols>
    <col min="1" max="1" width="19.7109375" customWidth="1"/>
    <col min="2" max="2" width="13.140625" customWidth="1"/>
    <col min="3" max="3" width="13.85546875" customWidth="1"/>
    <col min="4" max="4" width="17.7109375" customWidth="1"/>
    <col min="5" max="5" width="11.28515625" customWidth="1"/>
    <col min="6" max="6" width="18.42578125" customWidth="1"/>
    <col min="7" max="7" width="19.140625" customWidth="1"/>
    <col min="8" max="8" width="9.28515625" customWidth="1"/>
    <col min="9" max="9" width="14.85546875" customWidth="1"/>
    <col min="11" max="11" width="17" customWidth="1"/>
  </cols>
  <sheetData>
    <row r="1" spans="1:13" ht="28.5" customHeight="1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3">
      <c r="A2" s="2" t="s">
        <v>6</v>
      </c>
      <c r="B2" s="4">
        <v>41782</v>
      </c>
      <c r="C2" s="4">
        <v>41806</v>
      </c>
      <c r="D2" s="5">
        <v>150</v>
      </c>
      <c r="E2" s="5">
        <v>30</v>
      </c>
      <c r="F2" s="5">
        <f>J2/30*23</f>
        <v>46.766666666666666</v>
      </c>
      <c r="G2" s="5">
        <v>-450</v>
      </c>
      <c r="H2" s="5">
        <f>D2+E2+G2+F2</f>
        <v>-223.23333333333335</v>
      </c>
      <c r="I2" s="6">
        <f>75+75</f>
        <v>150</v>
      </c>
      <c r="J2" s="6">
        <f>50+11</f>
        <v>61</v>
      </c>
      <c r="K2" s="6">
        <f t="shared" ref="K2:K24" si="0">(I2-J2)*0.7</f>
        <v>62.3</v>
      </c>
    </row>
    <row r="3" spans="1:13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si="0"/>
        <v>30.799999999999997</v>
      </c>
    </row>
    <row r="4" spans="1:13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3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3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  <c r="M6" t="s">
        <v>33</v>
      </c>
    </row>
    <row r="7" spans="1:13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3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3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3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  <c r="M10" t="s">
        <v>34</v>
      </c>
    </row>
    <row r="11" spans="1:13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3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3">
      <c r="A13" s="2" t="s">
        <v>21</v>
      </c>
      <c r="B13" s="4">
        <v>42563</v>
      </c>
      <c r="C13" s="4">
        <v>42592</v>
      </c>
      <c r="D13" s="5"/>
      <c r="E13" s="5">
        <v>8.5</v>
      </c>
      <c r="F13" s="5">
        <f>25*28/30</f>
        <v>23.333333333333332</v>
      </c>
      <c r="G13" s="5"/>
      <c r="H13" s="5"/>
      <c r="I13" s="6">
        <v>130</v>
      </c>
      <c r="J13" s="6">
        <v>25</v>
      </c>
      <c r="K13" s="6">
        <f t="shared" si="0"/>
        <v>73.5</v>
      </c>
    </row>
    <row r="14" spans="1:13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3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3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D25" s="1"/>
      <c r="E25" s="1"/>
      <c r="F25" s="1"/>
      <c r="G25" s="1"/>
      <c r="H25" s="1"/>
      <c r="I25" s="1"/>
      <c r="J25" s="8" t="s">
        <v>4</v>
      </c>
      <c r="K25" s="8">
        <f>SUM(K2:K24)</f>
        <v>813.04999999999984</v>
      </c>
    </row>
    <row r="26" spans="1:11">
      <c r="D26" s="1"/>
      <c r="E26" s="1"/>
      <c r="F26" s="1"/>
      <c r="G26" s="1"/>
      <c r="H26" s="1"/>
      <c r="I26" s="1"/>
      <c r="J26" s="1"/>
      <c r="K26" s="1"/>
    </row>
    <row r="27" spans="1:11">
      <c r="D27" s="1"/>
      <c r="E27" s="1"/>
      <c r="F27" s="1"/>
      <c r="G27" s="1"/>
      <c r="H27" s="1"/>
      <c r="I27" s="1"/>
      <c r="J27" s="1"/>
      <c r="K27" s="1"/>
    </row>
    <row r="28" spans="1:11">
      <c r="D28" s="1"/>
      <c r="E28" s="1"/>
      <c r="F28" s="1"/>
      <c r="G28" s="1"/>
      <c r="H28" s="1"/>
      <c r="I28" s="1"/>
      <c r="J28" s="1"/>
      <c r="K28" s="1"/>
    </row>
    <row r="29" spans="1:11">
      <c r="D29" s="1"/>
      <c r="E29" s="1"/>
      <c r="F29" s="1"/>
      <c r="G29" s="1"/>
      <c r="H29" s="1"/>
      <c r="I29" s="1"/>
      <c r="J29" s="1"/>
      <c r="K29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6"/>
  <sheetViews>
    <sheetView topLeftCell="A19" workbookViewId="0">
      <selection activeCell="K25" sqref="K25"/>
    </sheetView>
  </sheetViews>
  <sheetFormatPr baseColWidth="10" defaultRowHeight="15"/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2" t="s">
        <v>6</v>
      </c>
      <c r="B2" s="4">
        <v>41782</v>
      </c>
      <c r="C2" s="4">
        <v>41806</v>
      </c>
      <c r="D2" s="5">
        <v>150</v>
      </c>
      <c r="E2" s="5">
        <v>30</v>
      </c>
      <c r="F2" s="5">
        <f>J2/30*23</f>
        <v>46.766666666666666</v>
      </c>
      <c r="G2" s="5">
        <v>-450</v>
      </c>
      <c r="H2" s="5">
        <f>D2+E2+G2+F2</f>
        <v>-223.23333333333335</v>
      </c>
      <c r="I2" s="6">
        <f>75+75</f>
        <v>150</v>
      </c>
      <c r="J2" s="6">
        <f>50+11</f>
        <v>61</v>
      </c>
      <c r="K2" s="6">
        <f t="shared" ref="K2:K25" si="0">(I2-J2)*0.7</f>
        <v>62.3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si="0"/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2" t="s">
        <v>21</v>
      </c>
      <c r="B13" s="4">
        <v>42563</v>
      </c>
      <c r="C13" s="4">
        <v>42592</v>
      </c>
      <c r="D13" s="5"/>
      <c r="E13" s="5">
        <v>8.5</v>
      </c>
      <c r="F13" s="5">
        <f>25*28/30</f>
        <v>23.333333333333332</v>
      </c>
      <c r="G13" s="5"/>
      <c r="H13" s="5"/>
      <c r="I13" s="6">
        <v>130</v>
      </c>
      <c r="J13" s="6">
        <v>25</v>
      </c>
      <c r="K13" s="6">
        <f t="shared" si="0"/>
        <v>73.5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D26" s="1"/>
      <c r="E26" s="1"/>
      <c r="F26" s="1"/>
      <c r="G26" s="1"/>
      <c r="H26" s="1"/>
      <c r="I26" s="1"/>
      <c r="J26" s="8" t="s">
        <v>4</v>
      </c>
      <c r="K26" s="8">
        <f>SUM(K2:K25)</f>
        <v>845.24999999999989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6"/>
  <sheetViews>
    <sheetView topLeftCell="A10" workbookViewId="0">
      <selection activeCell="K25" sqref="K25"/>
    </sheetView>
  </sheetViews>
  <sheetFormatPr baseColWidth="10" defaultRowHeight="15"/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2" t="s">
        <v>6</v>
      </c>
      <c r="B2" s="4">
        <v>41782</v>
      </c>
      <c r="C2" s="4">
        <v>41806</v>
      </c>
      <c r="D2" s="5">
        <v>150</v>
      </c>
      <c r="E2" s="5">
        <v>30</v>
      </c>
      <c r="F2" s="5">
        <f>J2/30*23</f>
        <v>46.766666666666666</v>
      </c>
      <c r="G2" s="5">
        <v>-450</v>
      </c>
      <c r="H2" s="5">
        <f>D2+E2+G2+F2</f>
        <v>-223.23333333333335</v>
      </c>
      <c r="I2" s="6">
        <f>75+75</f>
        <v>150</v>
      </c>
      <c r="J2" s="6">
        <f>50+11</f>
        <v>61</v>
      </c>
      <c r="K2" s="6">
        <f t="shared" ref="K2:K25" si="0">(I2-J2)*0.7</f>
        <v>62.3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si="0"/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2" t="s">
        <v>21</v>
      </c>
      <c r="B13" s="4">
        <v>42563</v>
      </c>
      <c r="C13" s="4">
        <v>42592</v>
      </c>
      <c r="D13" s="5"/>
      <c r="E13" s="5">
        <v>8.5</v>
      </c>
      <c r="F13" s="5">
        <f>25*28/30</f>
        <v>23.333333333333332</v>
      </c>
      <c r="G13" s="5"/>
      <c r="H13" s="5"/>
      <c r="I13" s="6">
        <v>130</v>
      </c>
      <c r="J13" s="6">
        <v>25</v>
      </c>
      <c r="K13" s="6">
        <f t="shared" si="0"/>
        <v>73.5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D26" s="1"/>
      <c r="E26" s="1"/>
      <c r="F26" s="1"/>
      <c r="G26" s="1"/>
      <c r="H26" s="1"/>
      <c r="I26" s="1"/>
      <c r="J26" s="8" t="s">
        <v>4</v>
      </c>
      <c r="K26" s="8">
        <f>SUM(K2:K25)</f>
        <v>845.24999999999989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6"/>
  <sheetViews>
    <sheetView workbookViewId="0">
      <selection sqref="A1:L26"/>
    </sheetView>
  </sheetViews>
  <sheetFormatPr baseColWidth="10" defaultRowHeight="15"/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2" t="s">
        <v>6</v>
      </c>
      <c r="B2" s="4">
        <v>41782</v>
      </c>
      <c r="C2" s="4">
        <v>41806</v>
      </c>
      <c r="D2" s="5">
        <v>150</v>
      </c>
      <c r="E2" s="5">
        <v>30</v>
      </c>
      <c r="F2" s="5">
        <f>J2/30*23</f>
        <v>46.766666666666666</v>
      </c>
      <c r="G2" s="5">
        <v>-450</v>
      </c>
      <c r="H2" s="5">
        <f>D2+E2+G2+F2</f>
        <v>-223.23333333333335</v>
      </c>
      <c r="I2" s="6">
        <f>75+75</f>
        <v>150</v>
      </c>
      <c r="J2" s="6">
        <f>50+11</f>
        <v>61</v>
      </c>
      <c r="K2" s="6">
        <f t="shared" ref="K2:K25" si="0">(I2-J2)*0.7</f>
        <v>62.3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si="0"/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2" t="s">
        <v>21</v>
      </c>
      <c r="B13" s="4">
        <v>42563</v>
      </c>
      <c r="C13" s="4">
        <v>42592</v>
      </c>
      <c r="D13" s="5"/>
      <c r="E13" s="5">
        <v>8.5</v>
      </c>
      <c r="F13" s="5">
        <f>25*28/30</f>
        <v>23.333333333333332</v>
      </c>
      <c r="G13" s="5"/>
      <c r="H13" s="5"/>
      <c r="I13" s="6">
        <v>130</v>
      </c>
      <c r="J13" s="6">
        <v>25</v>
      </c>
      <c r="K13" s="6">
        <f t="shared" si="0"/>
        <v>73.5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D26" s="1"/>
      <c r="E26" s="1"/>
      <c r="F26" s="1"/>
      <c r="G26" s="1"/>
      <c r="H26" s="1"/>
      <c r="I26" s="1"/>
      <c r="J26" s="8" t="s">
        <v>4</v>
      </c>
      <c r="K26" s="8">
        <f>SUM(K2:K25)</f>
        <v>845.24999999999989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8"/>
  <sheetViews>
    <sheetView topLeftCell="A19" workbookViewId="0">
      <selection activeCell="D31" sqref="D31"/>
    </sheetView>
  </sheetViews>
  <sheetFormatPr baseColWidth="10" defaultRowHeight="15"/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27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2" t="s">
        <v>21</v>
      </c>
      <c r="B13" s="4">
        <v>42563</v>
      </c>
      <c r="C13" s="4">
        <v>42592</v>
      </c>
      <c r="D13" s="5"/>
      <c r="E13" s="5">
        <v>8.5</v>
      </c>
      <c r="F13" s="5">
        <f>25*28/30</f>
        <v>23.333333333333332</v>
      </c>
      <c r="G13" s="5"/>
      <c r="H13" s="5"/>
      <c r="I13" s="6">
        <v>130</v>
      </c>
      <c r="J13" s="6">
        <v>25</v>
      </c>
      <c r="K13" s="6">
        <f t="shared" si="0"/>
        <v>73.5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19" t="s">
        <v>38</v>
      </c>
      <c r="B26" s="15">
        <v>43081</v>
      </c>
      <c r="C26" s="15">
        <v>43103</v>
      </c>
      <c r="D26" s="16">
        <v>-100</v>
      </c>
      <c r="E26" s="16">
        <v>6.83</v>
      </c>
      <c r="F26" s="16">
        <v>12.5</v>
      </c>
      <c r="G26" s="16"/>
      <c r="H26" s="16"/>
      <c r="I26" s="17">
        <v>50</v>
      </c>
      <c r="J26" s="18">
        <v>25</v>
      </c>
      <c r="K26" s="18">
        <f t="shared" si="0"/>
        <v>17.5</v>
      </c>
    </row>
    <row r="27" spans="1:11">
      <c r="A27" s="19" t="s">
        <v>39</v>
      </c>
      <c r="B27" s="15">
        <v>43081</v>
      </c>
      <c r="C27" s="15">
        <v>43109</v>
      </c>
      <c r="D27" s="16">
        <v>-550</v>
      </c>
      <c r="E27" s="16">
        <v>9.83</v>
      </c>
      <c r="F27" s="16">
        <f>36/30*28</f>
        <v>33.6</v>
      </c>
      <c r="G27" s="16"/>
      <c r="H27" s="16"/>
      <c r="I27" s="17">
        <v>120</v>
      </c>
      <c r="J27" s="18">
        <v>36</v>
      </c>
      <c r="K27" s="18">
        <f t="shared" si="0"/>
        <v>58.8</v>
      </c>
    </row>
    <row r="28" spans="1:11">
      <c r="D28" s="1"/>
      <c r="E28" s="1"/>
      <c r="F28" s="1"/>
      <c r="G28" s="1"/>
      <c r="H28" s="1"/>
      <c r="I28" s="1"/>
      <c r="J28" s="8" t="s">
        <v>4</v>
      </c>
      <c r="K28" s="8">
        <f>SUM(K2:K27)</f>
        <v>859.24999999999989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6"/>
  <sheetViews>
    <sheetView topLeftCell="A13" workbookViewId="0">
      <selection activeCell="K26" sqref="K26"/>
    </sheetView>
  </sheetViews>
  <sheetFormatPr baseColWidth="10" defaultRowHeight="15"/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2" t="s">
        <v>6</v>
      </c>
      <c r="B2" s="4">
        <v>41782</v>
      </c>
      <c r="C2" s="4">
        <v>41806</v>
      </c>
      <c r="D2" s="5">
        <v>150</v>
      </c>
      <c r="E2" s="5">
        <v>30</v>
      </c>
      <c r="F2" s="5">
        <f>J2/30*23</f>
        <v>46.766666666666666</v>
      </c>
      <c r="G2" s="5">
        <v>-450</v>
      </c>
      <c r="H2" s="5">
        <f>D2+E2+G2+F2</f>
        <v>-223.23333333333335</v>
      </c>
      <c r="I2" s="6">
        <f>75+75</f>
        <v>150</v>
      </c>
      <c r="J2" s="6">
        <f>50+11</f>
        <v>61</v>
      </c>
      <c r="K2" s="6">
        <f t="shared" ref="K2:K25" si="0">(I2-J2)*0.7</f>
        <v>62.3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si="0"/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2" t="s">
        <v>21</v>
      </c>
      <c r="B13" s="4">
        <v>42563</v>
      </c>
      <c r="C13" s="4">
        <v>42592</v>
      </c>
      <c r="D13" s="5"/>
      <c r="E13" s="5">
        <v>8.5</v>
      </c>
      <c r="F13" s="5">
        <f>25*28/30</f>
        <v>23.333333333333332</v>
      </c>
      <c r="G13" s="5"/>
      <c r="H13" s="5"/>
      <c r="I13" s="6">
        <v>130</v>
      </c>
      <c r="J13" s="6">
        <v>25</v>
      </c>
      <c r="K13" s="6">
        <f t="shared" si="0"/>
        <v>73.5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D26" s="1"/>
      <c r="E26" s="1"/>
      <c r="F26" s="1"/>
      <c r="G26" s="1"/>
      <c r="H26" s="1"/>
      <c r="I26" s="1"/>
      <c r="J26" s="8" t="s">
        <v>4</v>
      </c>
      <c r="K26" s="8">
        <f>SUM(K2:K25)</f>
        <v>845.24999999999989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L28"/>
  <sheetViews>
    <sheetView topLeftCell="A19" workbookViewId="0">
      <selection activeCell="I31" sqref="I31"/>
    </sheetView>
  </sheetViews>
  <sheetFormatPr baseColWidth="10" defaultRowHeight="15"/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27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2" t="s">
        <v>21</v>
      </c>
      <c r="B13" s="4">
        <v>42563</v>
      </c>
      <c r="C13" s="4">
        <v>42592</v>
      </c>
      <c r="D13" s="5"/>
      <c r="E13" s="5">
        <v>8.5</v>
      </c>
      <c r="F13" s="5">
        <f>25*28/30</f>
        <v>23.333333333333332</v>
      </c>
      <c r="G13" s="5"/>
      <c r="H13" s="5"/>
      <c r="I13" s="6">
        <v>130</v>
      </c>
      <c r="J13" s="6">
        <v>25</v>
      </c>
      <c r="K13" s="6">
        <f t="shared" si="0"/>
        <v>73.5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>
        <v>-100</v>
      </c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>
        <v>-550</v>
      </c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D28" s="1"/>
      <c r="E28" s="1"/>
      <c r="F28" s="1"/>
      <c r="G28" s="1"/>
      <c r="H28" s="1"/>
      <c r="I28" s="1"/>
      <c r="J28" s="8" t="s">
        <v>4</v>
      </c>
      <c r="K28" s="8">
        <f>SUM(K2:K27)</f>
        <v>859.24999999999989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28"/>
  <sheetViews>
    <sheetView topLeftCell="A16" workbookViewId="0">
      <selection activeCell="D31" sqref="D31"/>
    </sheetView>
  </sheetViews>
  <sheetFormatPr baseColWidth="10" defaultRowHeight="15"/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27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2" t="s">
        <v>21</v>
      </c>
      <c r="B13" s="4">
        <v>42563</v>
      </c>
      <c r="C13" s="4">
        <v>42592</v>
      </c>
      <c r="D13" s="5"/>
      <c r="E13" s="5">
        <v>8.5</v>
      </c>
      <c r="F13" s="5">
        <f>25*28/30</f>
        <v>23.333333333333332</v>
      </c>
      <c r="G13" s="5"/>
      <c r="H13" s="5"/>
      <c r="I13" s="6">
        <v>130</v>
      </c>
      <c r="J13" s="6">
        <v>25</v>
      </c>
      <c r="K13" s="6">
        <f t="shared" si="0"/>
        <v>73.5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>
        <v>-100</v>
      </c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>
        <v>-550</v>
      </c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D28" s="1"/>
      <c r="E28" s="1"/>
      <c r="F28" s="1"/>
      <c r="G28" s="1"/>
      <c r="H28" s="1"/>
      <c r="I28" s="1"/>
      <c r="J28" s="8" t="s">
        <v>4</v>
      </c>
      <c r="K28" s="8">
        <f>SUM(K2:K27)</f>
        <v>859.24999999999989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28"/>
  <sheetViews>
    <sheetView topLeftCell="A16" workbookViewId="0">
      <selection activeCell="G31" sqref="G31"/>
    </sheetView>
  </sheetViews>
  <sheetFormatPr baseColWidth="10" defaultRowHeight="15"/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27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2" t="s">
        <v>21</v>
      </c>
      <c r="B13" s="4">
        <v>42563</v>
      </c>
      <c r="C13" s="4">
        <v>42592</v>
      </c>
      <c r="D13" s="5"/>
      <c r="E13" s="5">
        <v>8.5</v>
      </c>
      <c r="F13" s="5">
        <f>25*28/30</f>
        <v>23.333333333333332</v>
      </c>
      <c r="G13" s="5"/>
      <c r="H13" s="5"/>
      <c r="I13" s="6">
        <v>130</v>
      </c>
      <c r="J13" s="6">
        <v>25</v>
      </c>
      <c r="K13" s="6">
        <f t="shared" si="0"/>
        <v>73.5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>
        <v>-100</v>
      </c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>
        <v>-550</v>
      </c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D28" s="1"/>
      <c r="E28" s="1"/>
      <c r="F28" s="1"/>
      <c r="G28" s="1"/>
      <c r="H28" s="1"/>
      <c r="I28" s="1"/>
      <c r="J28" s="8" t="s">
        <v>4</v>
      </c>
      <c r="K28" s="8">
        <f>SUM(K2:K27)</f>
        <v>859.24999999999989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29"/>
  <sheetViews>
    <sheetView topLeftCell="A22" workbookViewId="0">
      <selection activeCell="K34" sqref="K34"/>
    </sheetView>
  </sheetViews>
  <sheetFormatPr baseColWidth="10" defaultRowHeight="15"/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28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2" t="s">
        <v>21</v>
      </c>
      <c r="B13" s="4">
        <v>42563</v>
      </c>
      <c r="C13" s="4">
        <v>42592</v>
      </c>
      <c r="D13" s="5"/>
      <c r="E13" s="5">
        <v>8.5</v>
      </c>
      <c r="F13" s="5">
        <f>25*28/30</f>
        <v>23.333333333333332</v>
      </c>
      <c r="G13" s="5"/>
      <c r="H13" s="5"/>
      <c r="I13" s="6">
        <v>130</v>
      </c>
      <c r="J13" s="6">
        <v>25</v>
      </c>
      <c r="K13" s="6">
        <f t="shared" si="0"/>
        <v>73.5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>
        <v>-100</v>
      </c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>
        <v>-550</v>
      </c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D29" s="1"/>
      <c r="E29" s="1"/>
      <c r="F29" s="1"/>
      <c r="G29" s="1"/>
      <c r="H29" s="1"/>
      <c r="I29" s="1"/>
      <c r="J29" s="8" t="s">
        <v>4</v>
      </c>
      <c r="K29" s="8">
        <f>SUM(K2:K28)</f>
        <v>890.04999999999984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33"/>
  <sheetViews>
    <sheetView topLeftCell="A16" workbookViewId="0">
      <selection activeCell="F27" sqref="F27"/>
    </sheetView>
  </sheetViews>
  <sheetFormatPr baseColWidth="10" defaultRowHeight="15"/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2" t="s">
        <v>21</v>
      </c>
      <c r="B13" s="4">
        <v>42563</v>
      </c>
      <c r="C13" s="4">
        <v>42592</v>
      </c>
      <c r="D13" s="5"/>
      <c r="E13" s="5">
        <v>8.5</v>
      </c>
      <c r="F13" s="5">
        <f>25*28/30</f>
        <v>23.333333333333332</v>
      </c>
      <c r="G13" s="5"/>
      <c r="H13" s="5"/>
      <c r="I13" s="6">
        <v>130</v>
      </c>
      <c r="J13" s="6">
        <v>25</v>
      </c>
      <c r="K13" s="6">
        <f t="shared" si="0"/>
        <v>73.5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/>
      <c r="F31" s="5"/>
      <c r="G31" s="5"/>
      <c r="H31" s="5"/>
      <c r="I31" s="6"/>
      <c r="J31" s="18"/>
      <c r="K31" s="18"/>
    </row>
    <row r="32" spans="1:11">
      <c r="A32" s="2" t="s">
        <v>44</v>
      </c>
      <c r="B32" s="4"/>
      <c r="C32" s="4"/>
      <c r="D32" s="5"/>
      <c r="E32" s="5"/>
      <c r="F32" s="5"/>
      <c r="G32" s="5"/>
      <c r="H32" s="5"/>
      <c r="I32" s="6"/>
      <c r="J32" s="18"/>
      <c r="K32" s="18"/>
    </row>
    <row r="33" spans="4:11">
      <c r="D33" s="1"/>
      <c r="E33" s="1"/>
      <c r="F33" s="1"/>
      <c r="G33" s="1"/>
      <c r="H33" s="1"/>
      <c r="I33" s="1"/>
      <c r="J33" s="8" t="s">
        <v>4</v>
      </c>
      <c r="K33" s="8">
        <f>SUM(K2:K32)</f>
        <v>969.8499999999998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33"/>
  <sheetViews>
    <sheetView topLeftCell="A16" workbookViewId="0">
      <selection activeCell="K33" sqref="K33"/>
    </sheetView>
  </sheetViews>
  <sheetFormatPr baseColWidth="10" defaultRowHeight="15"/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2" t="s">
        <v>21</v>
      </c>
      <c r="B13" s="4">
        <v>42563</v>
      </c>
      <c r="C13" s="4">
        <v>42592</v>
      </c>
      <c r="D13" s="5"/>
      <c r="E13" s="5">
        <v>8.5</v>
      </c>
      <c r="F13" s="5">
        <f>25*28/30</f>
        <v>23.333333333333332</v>
      </c>
      <c r="G13" s="5"/>
      <c r="H13" s="5"/>
      <c r="I13" s="6">
        <v>130</v>
      </c>
      <c r="J13" s="6">
        <v>25</v>
      </c>
      <c r="K13" s="6">
        <f t="shared" si="0"/>
        <v>73.5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59</v>
      </c>
      <c r="K31" s="18">
        <f>(I31-J31)*0.7</f>
        <v>60.199999999999996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4:11">
      <c r="D33" s="1"/>
      <c r="E33" s="1"/>
      <c r="F33" s="1"/>
      <c r="G33" s="1"/>
      <c r="H33" s="1"/>
      <c r="I33" s="1"/>
      <c r="J33" s="8" t="s">
        <v>4</v>
      </c>
      <c r="K33" s="8">
        <f>SUM(K2:K32)</f>
        <v>1054.5499999999997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L33"/>
  <sheetViews>
    <sheetView topLeftCell="A22" workbookViewId="0">
      <selection activeCell="A10" sqref="A10"/>
    </sheetView>
  </sheetViews>
  <sheetFormatPr baseColWidth="10" defaultRowHeight="15"/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2" t="s">
        <v>21</v>
      </c>
      <c r="B13" s="4">
        <v>42563</v>
      </c>
      <c r="C13" s="4">
        <v>42592</v>
      </c>
      <c r="D13" s="5"/>
      <c r="E13" s="5">
        <v>8.5</v>
      </c>
      <c r="F13" s="5">
        <f>25*28/30</f>
        <v>23.333333333333332</v>
      </c>
      <c r="G13" s="5"/>
      <c r="H13" s="5"/>
      <c r="I13" s="6">
        <v>130</v>
      </c>
      <c r="J13" s="6">
        <v>25</v>
      </c>
      <c r="K13" s="6">
        <f t="shared" si="0"/>
        <v>73.5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4:11">
      <c r="D33" s="1"/>
      <c r="E33" s="1"/>
      <c r="F33" s="1"/>
      <c r="G33" s="1"/>
      <c r="H33" s="1"/>
      <c r="I33" s="1"/>
      <c r="J33" s="8" t="s">
        <v>4</v>
      </c>
      <c r="K33" s="8">
        <f>SUM(K2:K32)</f>
        <v>1040.5499999999997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L35"/>
  <sheetViews>
    <sheetView topLeftCell="A7" workbookViewId="0">
      <selection activeCell="M18" sqref="M18"/>
    </sheetView>
  </sheetViews>
  <sheetFormatPr baseColWidth="10" defaultRowHeight="15"/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1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</row>
    <row r="34" spans="1:11">
      <c r="A34" s="2" t="s">
        <v>46</v>
      </c>
      <c r="B34" s="4">
        <v>43266</v>
      </c>
      <c r="C34" s="4">
        <v>43235</v>
      </c>
      <c r="D34" s="5"/>
      <c r="E34" s="5">
        <v>16.579999999999998</v>
      </c>
      <c r="F34" s="5">
        <v>25</v>
      </c>
      <c r="G34" s="5"/>
      <c r="H34" s="5"/>
      <c r="I34" s="6">
        <v>110</v>
      </c>
      <c r="J34" s="6">
        <v>40</v>
      </c>
      <c r="K34" s="6">
        <f>(I34-J34)*0.7</f>
        <v>49</v>
      </c>
    </row>
    <row r="35" spans="1:11">
      <c r="D35" s="1"/>
      <c r="E35" s="1"/>
      <c r="F35" s="1"/>
      <c r="G35" s="1"/>
      <c r="H35" s="1"/>
      <c r="I35" s="1"/>
      <c r="J35" s="8" t="s">
        <v>4</v>
      </c>
      <c r="K35" s="8">
        <f>SUM(K2:K34)</f>
        <v>1067.8499999999999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L35"/>
  <sheetViews>
    <sheetView topLeftCell="A25" workbookViewId="0">
      <selection activeCell="F34" sqref="F34"/>
    </sheetView>
  </sheetViews>
  <sheetFormatPr baseColWidth="10" defaultRowHeight="15"/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39.866666666666667</v>
      </c>
      <c r="G23" s="5"/>
      <c r="H23" s="5"/>
      <c r="I23" s="6">
        <v>90</v>
      </c>
      <c r="J23" s="6">
        <v>26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1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</row>
    <row r="34" spans="1:11">
      <c r="A34" s="2" t="s">
        <v>46</v>
      </c>
      <c r="B34" s="4">
        <v>43266</v>
      </c>
      <c r="C34" s="4">
        <v>43235</v>
      </c>
      <c r="D34" s="5"/>
      <c r="E34" s="5">
        <v>16.579999999999998</v>
      </c>
      <c r="F34" s="5">
        <v>25</v>
      </c>
      <c r="G34" s="5"/>
      <c r="H34" s="5"/>
      <c r="I34" s="6">
        <v>110</v>
      </c>
      <c r="J34" s="6">
        <v>40</v>
      </c>
      <c r="K34" s="6">
        <f>(I34-J34)*0.7</f>
        <v>49</v>
      </c>
    </row>
    <row r="35" spans="1:11">
      <c r="D35" s="1"/>
      <c r="E35" s="1"/>
      <c r="F35" s="1"/>
      <c r="G35" s="1"/>
      <c r="H35" s="1"/>
      <c r="I35" s="1"/>
      <c r="J35" s="8" t="s">
        <v>4</v>
      </c>
      <c r="K35" s="8">
        <f>SUM(K2:K34)</f>
        <v>1067.8499999999999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L41"/>
  <sheetViews>
    <sheetView topLeftCell="A3" workbookViewId="0">
      <selection activeCell="H15" sqref="H15"/>
    </sheetView>
  </sheetViews>
  <sheetFormatPr baseColWidth="10" defaultRowHeight="15"/>
  <cols>
    <col min="1" max="1" width="22.42578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2" t="s">
        <v>46</v>
      </c>
      <c r="B34" s="4">
        <v>43266</v>
      </c>
      <c r="C34" s="4">
        <v>43235</v>
      </c>
      <c r="D34" s="5"/>
      <c r="E34" s="5">
        <v>16.579999999999998</v>
      </c>
      <c r="F34" s="5">
        <v>25</v>
      </c>
      <c r="G34" s="5"/>
      <c r="H34" s="5"/>
      <c r="I34" s="6">
        <v>112</v>
      </c>
      <c r="J34" s="6">
        <v>42</v>
      </c>
      <c r="K34" s="6">
        <f>(I34-J34)*0.7</f>
        <v>49</v>
      </c>
    </row>
    <row r="35" spans="1:12">
      <c r="A35" s="21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>(I35-J35)*0.7/30*18</f>
        <v>28.979999999999997</v>
      </c>
    </row>
    <row r="36" spans="1:12">
      <c r="A36" s="21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>(I36-J36)*0.7/30*6</f>
        <v>7</v>
      </c>
    </row>
    <row r="37" spans="1:12">
      <c r="A37" s="21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>(I37-J37)*0.7/30*6</f>
        <v>6.2999999999999989</v>
      </c>
    </row>
    <row r="38" spans="1:12">
      <c r="A38" s="21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>(I38-J38)*0.7/30*6</f>
        <v>6.2999999999999989</v>
      </c>
    </row>
    <row r="39" spans="1:12">
      <c r="A39" s="21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>(I39-J39)*0.7/30*15</f>
        <v>17.5</v>
      </c>
    </row>
    <row r="40" spans="1:12">
      <c r="A40" s="21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>(I40-J40)*0.7/30*6</f>
        <v>7</v>
      </c>
    </row>
    <row r="41" spans="1:12">
      <c r="D41" s="1"/>
      <c r="E41" s="1"/>
      <c r="F41" s="1"/>
      <c r="G41" s="1"/>
      <c r="H41" s="1"/>
      <c r="I41" s="1"/>
      <c r="J41" s="8" t="s">
        <v>4</v>
      </c>
      <c r="K41" s="8">
        <f>SUM(K2:K40)</f>
        <v>1140.9299999999998</v>
      </c>
    </row>
  </sheetData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L41"/>
  <sheetViews>
    <sheetView topLeftCell="A28" workbookViewId="0">
      <selection activeCell="K37" sqref="K37"/>
    </sheetView>
  </sheetViews>
  <sheetFormatPr baseColWidth="10" defaultRowHeight="15"/>
  <cols>
    <col min="1" max="1" width="22.42578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90</v>
      </c>
      <c r="J12" s="6">
        <v>25</v>
      </c>
      <c r="K12" s="6">
        <f t="shared" si="0"/>
        <v>45.5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2" t="s">
        <v>46</v>
      </c>
      <c r="B34" s="4">
        <v>43266</v>
      </c>
      <c r="C34" s="4">
        <v>43235</v>
      </c>
      <c r="D34" s="5"/>
      <c r="E34" s="5">
        <v>16.579999999999998</v>
      </c>
      <c r="F34" s="5">
        <v>25</v>
      </c>
      <c r="G34" s="5"/>
      <c r="H34" s="5"/>
      <c r="I34" s="6">
        <v>112</v>
      </c>
      <c r="J34" s="6">
        <v>42</v>
      </c>
      <c r="K34" s="6">
        <f>(I34-J34)*0.7</f>
        <v>49</v>
      </c>
    </row>
    <row r="35" spans="1:12">
      <c r="A35" s="21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0" si="1">(I35-J35)*0.7</f>
        <v>48.3</v>
      </c>
    </row>
    <row r="36" spans="1:12">
      <c r="A36" s="21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1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1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1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1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D41" s="1"/>
      <c r="E41" s="1"/>
      <c r="F41" s="1"/>
      <c r="G41" s="1"/>
      <c r="H41" s="1"/>
      <c r="I41" s="1"/>
      <c r="J41" s="8" t="s">
        <v>4</v>
      </c>
      <c r="K41" s="8">
        <f>SUM(K2:K40)</f>
        <v>1284.1499999999999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L45"/>
  <sheetViews>
    <sheetView topLeftCell="A31" workbookViewId="0">
      <selection activeCell="K40" sqref="K40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40</v>
      </c>
      <c r="J12" s="6">
        <v>3</v>
      </c>
      <c r="K12" s="6">
        <f t="shared" si="0"/>
        <v>25.9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2" t="s">
        <v>46</v>
      </c>
      <c r="B34" s="4">
        <v>43266</v>
      </c>
      <c r="C34" s="4">
        <v>43235</v>
      </c>
      <c r="D34" s="5"/>
      <c r="E34" s="5">
        <v>16.579999999999998</v>
      </c>
      <c r="F34" s="5">
        <v>25</v>
      </c>
      <c r="G34" s="5"/>
      <c r="H34" s="5"/>
      <c r="I34" s="6">
        <v>112</v>
      </c>
      <c r="J34" s="6">
        <v>42</v>
      </c>
      <c r="K34" s="6">
        <f>(I34-J34)*0.7</f>
        <v>49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0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1" t="s">
        <v>55</v>
      </c>
      <c r="B41" s="4">
        <v>43363</v>
      </c>
      <c r="C41" s="4"/>
      <c r="D41" s="5"/>
      <c r="E41" s="5"/>
      <c r="F41" s="5"/>
      <c r="G41" s="5"/>
      <c r="H41" s="5"/>
      <c r="I41" s="6"/>
      <c r="J41" s="6"/>
      <c r="K41" s="6"/>
    </row>
    <row r="42" spans="1:12">
      <c r="A42" s="21" t="s">
        <v>56</v>
      </c>
      <c r="B42" s="4">
        <v>43362</v>
      </c>
      <c r="C42" s="4"/>
      <c r="D42" s="5"/>
      <c r="E42" s="5"/>
      <c r="F42" s="5"/>
      <c r="G42" s="5"/>
      <c r="H42" s="5"/>
      <c r="I42" s="6"/>
      <c r="J42" s="6"/>
      <c r="K42" s="6"/>
    </row>
    <row r="43" spans="1:12">
      <c r="A43" s="21" t="s">
        <v>53</v>
      </c>
      <c r="B43" s="4">
        <v>43377</v>
      </c>
      <c r="C43" s="4"/>
      <c r="D43" s="5"/>
      <c r="E43" s="5"/>
      <c r="F43" s="5"/>
      <c r="G43" s="5"/>
      <c r="H43" s="5"/>
      <c r="I43" s="6"/>
      <c r="J43" s="6"/>
      <c r="K43" s="6"/>
    </row>
    <row r="44" spans="1:12">
      <c r="A44" s="21" t="s">
        <v>54</v>
      </c>
      <c r="B44" s="4">
        <v>43167</v>
      </c>
      <c r="C44" s="4"/>
      <c r="D44" s="5"/>
      <c r="E44" s="5"/>
      <c r="F44" s="5"/>
      <c r="G44" s="5"/>
      <c r="H44" s="5"/>
      <c r="I44" s="6"/>
      <c r="J44" s="6"/>
      <c r="K44" s="6"/>
    </row>
    <row r="45" spans="1:12">
      <c r="D45" s="1"/>
      <c r="E45" s="1"/>
      <c r="F45" s="1"/>
      <c r="G45" s="1"/>
      <c r="H45" s="1"/>
      <c r="I45" s="1"/>
      <c r="J45" s="8" t="s">
        <v>4</v>
      </c>
      <c r="K45" s="8">
        <f>SUM(K2:K40)</f>
        <v>1264.5499999999997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L45"/>
  <sheetViews>
    <sheetView topLeftCell="A28" workbookViewId="0">
      <selection activeCell="K21" sqref="K21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40</v>
      </c>
      <c r="J12" s="6">
        <v>3</v>
      </c>
      <c r="K12" s="6">
        <f t="shared" si="0"/>
        <v>25.9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2" t="s">
        <v>46</v>
      </c>
      <c r="B34" s="4">
        <v>43266</v>
      </c>
      <c r="C34" s="4">
        <v>43235</v>
      </c>
      <c r="D34" s="5"/>
      <c r="E34" s="5">
        <v>16.579999999999998</v>
      </c>
      <c r="F34" s="5">
        <v>25</v>
      </c>
      <c r="G34" s="5"/>
      <c r="H34" s="5"/>
      <c r="I34" s="6">
        <v>112</v>
      </c>
      <c r="J34" s="6">
        <v>42</v>
      </c>
      <c r="K34" s="6">
        <f>(I34-J34)*0.7</f>
        <v>49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1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1" t="s">
        <v>56</v>
      </c>
      <c r="B42" s="4">
        <v>43361</v>
      </c>
      <c r="C42" s="4">
        <v>43132</v>
      </c>
      <c r="D42" s="5"/>
      <c r="E42" s="5"/>
      <c r="F42" s="5"/>
      <c r="G42" s="5"/>
      <c r="H42" s="5"/>
      <c r="I42" s="6"/>
      <c r="J42" s="6"/>
      <c r="K42" s="6">
        <f t="shared" si="1"/>
        <v>0</v>
      </c>
    </row>
    <row r="43" spans="1:12">
      <c r="A43" s="21" t="s">
        <v>53</v>
      </c>
      <c r="B43" s="4">
        <v>43377</v>
      </c>
      <c r="C43" s="4">
        <v>43455</v>
      </c>
      <c r="D43" s="5"/>
      <c r="E43" s="5"/>
      <c r="F43" s="5"/>
      <c r="G43" s="5"/>
      <c r="H43" s="5"/>
      <c r="I43" s="6">
        <v>90</v>
      </c>
      <c r="J43" s="6">
        <v>26</v>
      </c>
      <c r="K43" s="6"/>
    </row>
    <row r="44" spans="1:12">
      <c r="A44" s="21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D45" s="1"/>
      <c r="E45" s="1"/>
      <c r="F45" s="1"/>
      <c r="G45" s="1"/>
      <c r="H45" s="1"/>
      <c r="I45" s="1"/>
      <c r="J45" s="8" t="s">
        <v>4</v>
      </c>
      <c r="K45" s="8">
        <f>SUM(K2:K44)</f>
        <v>1337.3499999999997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L45"/>
  <sheetViews>
    <sheetView topLeftCell="A31" workbookViewId="0">
      <selection activeCell="F42" sqref="F42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40</v>
      </c>
      <c r="J12" s="6">
        <v>3</v>
      </c>
      <c r="K12" s="6">
        <f t="shared" si="0"/>
        <v>25.9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1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1" t="s">
        <v>56</v>
      </c>
      <c r="B42" s="4">
        <v>43361</v>
      </c>
      <c r="C42" s="4">
        <v>43132</v>
      </c>
      <c r="D42" s="5"/>
      <c r="E42" s="5"/>
      <c r="F42" s="5"/>
      <c r="G42" s="5"/>
      <c r="H42" s="5"/>
      <c r="I42" s="6">
        <v>75</v>
      </c>
      <c r="J42" s="6">
        <v>25</v>
      </c>
      <c r="K42" s="6"/>
    </row>
    <row r="43" spans="1:12">
      <c r="A43" s="21" t="s">
        <v>53</v>
      </c>
      <c r="B43" s="4">
        <v>43377</v>
      </c>
      <c r="C43" s="4">
        <v>43455</v>
      </c>
      <c r="D43" s="5"/>
      <c r="E43" s="5">
        <v>10.86</v>
      </c>
      <c r="F43" s="5">
        <f>26*2+25/30*17</f>
        <v>66.166666666666671</v>
      </c>
      <c r="G43" s="5"/>
      <c r="H43" s="5"/>
      <c r="I43" s="6">
        <v>90</v>
      </c>
      <c r="J43" s="6">
        <v>26</v>
      </c>
      <c r="K43" s="6">
        <f>(I43-J43)*0.7/30*9</f>
        <v>13.439999999999998</v>
      </c>
    </row>
    <row r="44" spans="1:12">
      <c r="A44" s="21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D45" s="1"/>
      <c r="E45" s="1"/>
      <c r="F45" s="1"/>
      <c r="G45" s="1"/>
      <c r="H45" s="1"/>
      <c r="I45" s="1"/>
      <c r="J45" s="8" t="s">
        <v>4</v>
      </c>
      <c r="K45" s="8">
        <f>SUM(K2:K44)</f>
        <v>1301.7899999999997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L45"/>
  <sheetViews>
    <sheetView topLeftCell="A28" workbookViewId="0">
      <selection activeCell="G41" sqref="G41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40</v>
      </c>
      <c r="J12" s="6">
        <v>3</v>
      </c>
      <c r="K12" s="6">
        <f t="shared" si="0"/>
        <v>25.9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1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1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21" t="s">
        <v>53</v>
      </c>
      <c r="B43" s="4">
        <v>43377</v>
      </c>
      <c r="C43" s="4">
        <v>43455</v>
      </c>
      <c r="D43" s="5"/>
      <c r="E43" s="5">
        <v>10.86</v>
      </c>
      <c r="F43" s="5">
        <f>26*2+25/30*17</f>
        <v>66.166666666666671</v>
      </c>
      <c r="G43" s="5"/>
      <c r="H43" s="5"/>
      <c r="I43" s="6">
        <v>90</v>
      </c>
      <c r="J43" s="6">
        <v>26</v>
      </c>
      <c r="K43" s="6">
        <f t="shared" si="1"/>
        <v>44.8</v>
      </c>
    </row>
    <row r="44" spans="1:12">
      <c r="A44" s="21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D45" s="1"/>
      <c r="E45" s="1"/>
      <c r="F45" s="1"/>
      <c r="G45" s="1"/>
      <c r="H45" s="1"/>
      <c r="I45" s="1"/>
      <c r="J45" s="8" t="s">
        <v>4</v>
      </c>
      <c r="K45" s="8">
        <f>SUM(K2:K44)</f>
        <v>1368.1499999999996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L49"/>
  <sheetViews>
    <sheetView topLeftCell="A37" workbookViewId="0">
      <selection activeCell="K45" sqref="K45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40</v>
      </c>
      <c r="J12" s="6">
        <v>3</v>
      </c>
      <c r="K12" s="6">
        <f t="shared" si="0"/>
        <v>25.9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22" t="s">
        <v>53</v>
      </c>
      <c r="B43" s="4">
        <v>43377</v>
      </c>
      <c r="C43" s="4">
        <v>43455</v>
      </c>
      <c r="D43" s="5"/>
      <c r="E43" s="5">
        <v>10.86</v>
      </c>
      <c r="F43" s="5">
        <f>26*2+25/30*17</f>
        <v>66.166666666666671</v>
      </c>
      <c r="G43" s="5"/>
      <c r="H43" s="5"/>
      <c r="I43" s="6">
        <v>90</v>
      </c>
      <c r="J43" s="6">
        <v>26</v>
      </c>
      <c r="K43" s="6">
        <f t="shared" si="1"/>
        <v>44.8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1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(I45-J45)*0.7/30*18</f>
        <v>18.899999999999999</v>
      </c>
    </row>
    <row r="46" spans="1:12">
      <c r="A46" s="21" t="s">
        <v>58</v>
      </c>
      <c r="B46" s="4">
        <v>43525</v>
      </c>
      <c r="C46" s="4">
        <v>43542</v>
      </c>
      <c r="D46" s="5"/>
      <c r="E46" s="5">
        <f>10.86*2</f>
        <v>21.72</v>
      </c>
      <c r="F46" s="5">
        <f>22/30*18</f>
        <v>13.2</v>
      </c>
      <c r="G46" s="5"/>
      <c r="H46" s="5"/>
      <c r="I46" s="6">
        <v>70</v>
      </c>
      <c r="J46" s="6">
        <v>22</v>
      </c>
      <c r="K46" s="6">
        <f>(I46-J46)*0.7/30*12</f>
        <v>13.439999999999998</v>
      </c>
    </row>
    <row r="47" spans="1:12">
      <c r="A47" s="23" t="s">
        <v>59</v>
      </c>
      <c r="B47" s="24">
        <v>43528</v>
      </c>
      <c r="C47" s="24">
        <v>43538</v>
      </c>
      <c r="D47" s="25"/>
      <c r="E47" s="25">
        <v>14.92</v>
      </c>
      <c r="F47" s="25">
        <f>77/30*10</f>
        <v>25.666666666666668</v>
      </c>
      <c r="G47" s="25"/>
      <c r="H47" s="25"/>
      <c r="I47" s="17">
        <v>169</v>
      </c>
      <c r="J47" s="26">
        <f>64+11+2</f>
        <v>77</v>
      </c>
      <c r="K47" s="27">
        <f>(I47-J47)*0.7/30*16</f>
        <v>34.346666666666664</v>
      </c>
      <c r="L47" t="s">
        <v>60</v>
      </c>
    </row>
    <row r="48" spans="1:12">
      <c r="A48" s="21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(I48-J48)*0.7/30*12</f>
        <v>12.32</v>
      </c>
      <c r="L48" t="s">
        <v>62</v>
      </c>
    </row>
    <row r="49" spans="4:11">
      <c r="D49" s="1"/>
      <c r="E49" s="1"/>
      <c r="F49" s="1"/>
      <c r="G49" s="1"/>
      <c r="H49" s="1"/>
      <c r="I49" s="1"/>
      <c r="J49" s="8" t="s">
        <v>4</v>
      </c>
      <c r="K49" s="8">
        <f>SUM(K2:K48)</f>
        <v>1447.1566666666663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L49"/>
  <sheetViews>
    <sheetView topLeftCell="A34" workbookViewId="0">
      <selection activeCell="K48" sqref="K48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40</v>
      </c>
      <c r="J12" s="6">
        <v>3</v>
      </c>
      <c r="K12" s="6">
        <f t="shared" si="0"/>
        <v>25.9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22" t="s">
        <v>53</v>
      </c>
      <c r="B43" s="4">
        <v>43377</v>
      </c>
      <c r="C43" s="4">
        <v>43455</v>
      </c>
      <c r="D43" s="5"/>
      <c r="E43" s="5">
        <v>10.86</v>
      </c>
      <c r="F43" s="5">
        <f>26*2+25/30*17</f>
        <v>66.166666666666671</v>
      </c>
      <c r="G43" s="5"/>
      <c r="H43" s="5"/>
      <c r="I43" s="6">
        <v>90</v>
      </c>
      <c r="J43" s="6">
        <v>26</v>
      </c>
      <c r="K43" s="6">
        <f t="shared" si="1"/>
        <v>44.8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>(I46-J46)*0.7</f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4:11">
      <c r="D49" s="1"/>
      <c r="E49" s="1"/>
      <c r="F49" s="1"/>
      <c r="G49" s="1"/>
      <c r="H49" s="1"/>
      <c r="I49" s="1"/>
      <c r="J49" s="8" t="s">
        <v>4</v>
      </c>
      <c r="K49" s="8">
        <f>SUM(K2:K48)</f>
        <v>1528.4499999999996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L49"/>
  <sheetViews>
    <sheetView topLeftCell="A40" workbookViewId="0">
      <selection activeCell="C48" sqref="C48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40</v>
      </c>
      <c r="J12" s="6">
        <v>3</v>
      </c>
      <c r="K12" s="6">
        <f t="shared" si="0"/>
        <v>25.9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22" t="s">
        <v>53</v>
      </c>
      <c r="B43" s="4">
        <v>43377</v>
      </c>
      <c r="C43" s="4">
        <v>43455</v>
      </c>
      <c r="D43" s="5"/>
      <c r="E43" s="5">
        <v>10.86</v>
      </c>
      <c r="F43" s="5">
        <f>26*2+25/30*17</f>
        <v>66.166666666666671</v>
      </c>
      <c r="G43" s="5"/>
      <c r="H43" s="5"/>
      <c r="I43" s="6">
        <v>90</v>
      </c>
      <c r="J43" s="6">
        <v>26</v>
      </c>
      <c r="K43" s="6">
        <f t="shared" si="1"/>
        <v>44.8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>(I46-J46)*0.7</f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4:11">
      <c r="D49" s="1"/>
      <c r="E49" s="1"/>
      <c r="F49" s="1"/>
      <c r="G49" s="1"/>
      <c r="H49" s="1"/>
      <c r="I49" s="1"/>
      <c r="J49" s="8" t="s">
        <v>4</v>
      </c>
      <c r="K49" s="8">
        <f>SUM(K2:K48)</f>
        <v>1528.4499999999996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L53"/>
  <sheetViews>
    <sheetView topLeftCell="A40" workbookViewId="0">
      <selection activeCell="H49" sqref="H49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40</v>
      </c>
      <c r="J12" s="6">
        <v>3</v>
      </c>
      <c r="K12" s="6">
        <f t="shared" si="0"/>
        <v>25.9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22" t="s">
        <v>53</v>
      </c>
      <c r="B43" s="4">
        <v>43377</v>
      </c>
      <c r="C43" s="4">
        <v>43455</v>
      </c>
      <c r="D43" s="5"/>
      <c r="E43" s="5">
        <v>10.86</v>
      </c>
      <c r="F43" s="5">
        <f>26*2+25/30*17</f>
        <v>66.166666666666671</v>
      </c>
      <c r="G43" s="5"/>
      <c r="H43" s="5"/>
      <c r="I43" s="6">
        <v>90</v>
      </c>
      <c r="J43" s="6">
        <v>26</v>
      </c>
      <c r="K43" s="6">
        <f t="shared" si="1"/>
        <v>44.8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>(I46-J46)*0.7</f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10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>
        <v>20</v>
      </c>
      <c r="H49" s="5">
        <f>E49+F49+G49</f>
        <v>68.92</v>
      </c>
      <c r="I49" s="6">
        <v>100</v>
      </c>
      <c r="J49" s="6">
        <f>11+7</f>
        <v>18</v>
      </c>
      <c r="K49" s="6">
        <f>(I49-J49)*0.7/30*10</f>
        <v>19.133333333333333</v>
      </c>
      <c r="L49" t="s">
        <v>68</v>
      </c>
    </row>
    <row r="50" spans="1:12">
      <c r="A50" s="28"/>
      <c r="D50" s="1"/>
      <c r="E50" s="1"/>
      <c r="F50" s="1"/>
      <c r="G50" s="1"/>
      <c r="H50" s="1"/>
      <c r="I50" s="1"/>
      <c r="J50" s="8" t="s">
        <v>4</v>
      </c>
      <c r="K50" s="8">
        <f>SUM(K2:K49)</f>
        <v>1547.583333333333</v>
      </c>
    </row>
    <row r="51" spans="1:12">
      <c r="A51" s="28"/>
      <c r="C51" s="15"/>
      <c r="D51" s="1"/>
      <c r="E51" s="1"/>
      <c r="F51" s="1"/>
      <c r="G51" s="1"/>
      <c r="H51" s="1"/>
      <c r="I51" s="1"/>
      <c r="J51" s="29"/>
      <c r="K51" s="29"/>
    </row>
    <row r="53" spans="1:12">
      <c r="E53" s="30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L56"/>
  <sheetViews>
    <sheetView topLeftCell="A38" workbookViewId="0">
      <selection activeCell="H50" sqref="H50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2" t="s">
        <v>20</v>
      </c>
      <c r="B12" s="7">
        <v>42473</v>
      </c>
      <c r="C12" s="4">
        <v>42499</v>
      </c>
      <c r="D12" s="5"/>
      <c r="E12" s="5"/>
      <c r="F12" s="5"/>
      <c r="G12" s="5"/>
      <c r="H12" s="5"/>
      <c r="I12" s="6">
        <v>40</v>
      </c>
      <c r="J12" s="6">
        <v>3</v>
      </c>
      <c r="K12" s="6">
        <f t="shared" si="0"/>
        <v>25.9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22" t="s">
        <v>53</v>
      </c>
      <c r="B43" s="4">
        <v>43377</v>
      </c>
      <c r="C43" s="4">
        <v>43455</v>
      </c>
      <c r="D43" s="5"/>
      <c r="E43" s="5">
        <v>10.86</v>
      </c>
      <c r="F43" s="5">
        <f>26*2+25/30*17</f>
        <v>66.166666666666671</v>
      </c>
      <c r="G43" s="5"/>
      <c r="H43" s="5"/>
      <c r="I43" s="6">
        <v>90</v>
      </c>
      <c r="J43" s="6">
        <v>26</v>
      </c>
      <c r="K43" s="6">
        <f t="shared" si="1"/>
        <v>44.8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>(I46-J46)*0.7</f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>(I49-J49)*0.7</f>
        <v>57.4</v>
      </c>
    </row>
    <row r="50" spans="1:12">
      <c r="A50" s="10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(I50-J50)*0.7/30*17</f>
        <v>13.883333333333333</v>
      </c>
      <c r="L50" t="s">
        <v>69</v>
      </c>
    </row>
    <row r="51" spans="1:12">
      <c r="A51" s="10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(I51-J51)*0.7/30*17</f>
        <v>28.16333333333333</v>
      </c>
      <c r="L51" t="s">
        <v>70</v>
      </c>
    </row>
    <row r="52" spans="1:12">
      <c r="A52" s="10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(I52-J52)*0.7/30*17</f>
        <v>25.783333333333331</v>
      </c>
    </row>
    <row r="53" spans="1:12">
      <c r="A53" s="28"/>
      <c r="D53" s="1"/>
      <c r="E53" s="1"/>
      <c r="F53" s="1"/>
      <c r="G53" s="1"/>
      <c r="H53" s="1"/>
      <c r="I53" s="1"/>
      <c r="J53" s="8" t="s">
        <v>4</v>
      </c>
      <c r="K53" s="8">
        <f>SUM(K2:K52)</f>
        <v>1653.6799999999998</v>
      </c>
    </row>
    <row r="54" spans="1:12">
      <c r="A54" s="28"/>
      <c r="C54" s="15"/>
      <c r="D54" s="1"/>
      <c r="E54" s="1"/>
      <c r="F54" s="1"/>
      <c r="G54" s="1"/>
      <c r="H54" s="1"/>
      <c r="I54" s="1"/>
      <c r="J54" s="29"/>
      <c r="K54" s="29"/>
    </row>
    <row r="56" spans="1:12">
      <c r="E56" s="30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L58"/>
  <sheetViews>
    <sheetView topLeftCell="A40" workbookViewId="0">
      <selection activeCell="K51" sqref="K51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22" t="s">
        <v>53</v>
      </c>
      <c r="B43" s="4">
        <v>43377</v>
      </c>
      <c r="C43" s="4">
        <v>43455</v>
      </c>
      <c r="D43" s="5"/>
      <c r="E43" s="5">
        <v>10.86</v>
      </c>
      <c r="F43" s="5">
        <f>26*2+25/30*17</f>
        <v>66.166666666666671</v>
      </c>
      <c r="G43" s="5"/>
      <c r="H43" s="5"/>
      <c r="I43" s="6">
        <v>90</v>
      </c>
      <c r="J43" s="6">
        <v>26</v>
      </c>
      <c r="K43" s="6">
        <f t="shared" si="1"/>
        <v>44.8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 t="shared" ref="K45:K52" si="2"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 t="shared" si="2"/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 t="shared" si="2"/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 t="shared" si="2"/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si="2"/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 t="shared" si="2"/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 t="shared" si="2"/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 t="shared" si="2"/>
        <v>45.5</v>
      </c>
    </row>
    <row r="53" spans="1:12">
      <c r="A53" s="10" t="s">
        <v>65</v>
      </c>
      <c r="B53" s="4">
        <v>43622</v>
      </c>
      <c r="C53" s="4">
        <v>43650</v>
      </c>
      <c r="D53" s="5"/>
      <c r="E53" s="5">
        <v>10.86</v>
      </c>
      <c r="F53" s="5">
        <f>25/30*28</f>
        <v>23.333333333333336</v>
      </c>
      <c r="G53" s="5"/>
      <c r="H53" s="5"/>
      <c r="I53" s="6">
        <v>70</v>
      </c>
      <c r="J53" s="6">
        <v>25</v>
      </c>
      <c r="K53" s="6">
        <f>(I53-J53)*0.7/30*26</f>
        <v>27.299999999999997</v>
      </c>
    </row>
    <row r="54" spans="1:12">
      <c r="A54" s="10" t="s">
        <v>71</v>
      </c>
      <c r="B54" s="4">
        <v>43635</v>
      </c>
      <c r="C54" s="4">
        <v>43662</v>
      </c>
      <c r="D54" s="5"/>
      <c r="E54" s="5">
        <f>10.86*2</f>
        <v>21.72</v>
      </c>
      <c r="F54" s="5">
        <f>J54/30*27</f>
        <v>23.400000000000002</v>
      </c>
      <c r="G54" s="5"/>
      <c r="H54" s="5"/>
      <c r="I54" s="6">
        <v>70</v>
      </c>
      <c r="J54" s="6">
        <v>26</v>
      </c>
      <c r="K54" s="6">
        <f>(I54-J54)*0.7/30*14</f>
        <v>14.373333333333333</v>
      </c>
      <c r="L54" t="s">
        <v>72</v>
      </c>
    </row>
    <row r="55" spans="1:12">
      <c r="A55" s="28"/>
      <c r="B55" s="15"/>
      <c r="D55" s="1"/>
      <c r="E55" s="1"/>
      <c r="F55" s="1"/>
      <c r="G55" s="1"/>
      <c r="H55" s="1"/>
      <c r="I55" s="1"/>
      <c r="J55" s="8" t="s">
        <v>4</v>
      </c>
      <c r="K55" s="8">
        <f>SUM(K2:K54)</f>
        <v>1721.3233333333328</v>
      </c>
    </row>
    <row r="56" spans="1:12">
      <c r="A56" s="28"/>
      <c r="C56" s="15"/>
      <c r="D56" s="1"/>
      <c r="E56" s="1"/>
      <c r="F56" s="1"/>
      <c r="G56" s="1"/>
      <c r="H56" s="1"/>
      <c r="I56" s="1"/>
      <c r="J56" s="29"/>
      <c r="K56" s="29"/>
    </row>
    <row r="58" spans="1:12">
      <c r="E58" s="30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L59"/>
  <sheetViews>
    <sheetView topLeftCell="A40" workbookViewId="0">
      <selection activeCell="F53" sqref="F53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2" t="s">
        <v>25</v>
      </c>
      <c r="B17" s="4">
        <v>42538</v>
      </c>
      <c r="C17" s="4">
        <v>42555</v>
      </c>
      <c r="D17" s="5"/>
      <c r="E17" s="5"/>
      <c r="F17" s="5">
        <f>27/30*17</f>
        <v>15.3</v>
      </c>
      <c r="G17" s="5"/>
      <c r="H17" s="5"/>
      <c r="I17" s="6">
        <v>50</v>
      </c>
      <c r="J17" s="6">
        <v>27</v>
      </c>
      <c r="K17" s="6">
        <f t="shared" si="0"/>
        <v>16.099999999999998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2" t="s">
        <v>43</v>
      </c>
      <c r="B31" s="4">
        <v>43168</v>
      </c>
      <c r="C31" s="4">
        <v>43237</v>
      </c>
      <c r="D31" s="5"/>
      <c r="E31" s="5">
        <f>19.84+8.29+8.29</f>
        <v>36.42</v>
      </c>
      <c r="F31" s="5">
        <f>59/30*67</f>
        <v>131.76666666666665</v>
      </c>
      <c r="G31" s="5"/>
      <c r="H31" s="5"/>
      <c r="I31" s="6">
        <v>145</v>
      </c>
      <c r="J31" s="18">
        <v>79</v>
      </c>
      <c r="K31" s="18">
        <f>(I31-J31)*0.7</f>
        <v>46.199999999999996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22" t="s">
        <v>53</v>
      </c>
      <c r="B43" s="4">
        <v>43377</v>
      </c>
      <c r="C43" s="4">
        <v>43455</v>
      </c>
      <c r="D43" s="5"/>
      <c r="E43" s="5">
        <v>10.86</v>
      </c>
      <c r="F43" s="5">
        <f>26*2+25/30*17</f>
        <v>66.166666666666671</v>
      </c>
      <c r="G43" s="5"/>
      <c r="H43" s="5"/>
      <c r="I43" s="6">
        <v>90</v>
      </c>
      <c r="J43" s="6">
        <v>26</v>
      </c>
      <c r="K43" s="6">
        <f t="shared" si="1"/>
        <v>44.8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>(I46-J46)*0.7</f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1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54" si="2">(I49-J49)*0.7</f>
        <v>57.4</v>
      </c>
    </row>
    <row r="50" spans="1:11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(I50-J50)*0.7/30*17</f>
        <v>13.883333333333333</v>
      </c>
    </row>
    <row r="51" spans="1:11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(I51-J51)*0.7/30*17</f>
        <v>28.16333333333333</v>
      </c>
    </row>
    <row r="52" spans="1:11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(I52-J52)*0.7/30*17</f>
        <v>25.783333333333331</v>
      </c>
    </row>
    <row r="53" spans="1:11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70</v>
      </c>
      <c r="J53" s="6">
        <v>25</v>
      </c>
      <c r="K53" s="6">
        <f t="shared" si="2"/>
        <v>31.499999999999996</v>
      </c>
    </row>
    <row r="54" spans="1:11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</row>
    <row r="55" spans="1:11">
      <c r="A55" s="10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>(I55-J55)*0.7/30*22</f>
        <v>4.62</v>
      </c>
    </row>
    <row r="56" spans="1:11">
      <c r="J56" s="8" t="s">
        <v>4</v>
      </c>
      <c r="K56" s="8">
        <f>SUM(K2:K55)</f>
        <v>1694.6999999999996</v>
      </c>
    </row>
    <row r="57" spans="1:11">
      <c r="A57" s="28"/>
      <c r="C57" s="15"/>
      <c r="D57" s="1"/>
      <c r="E57" s="1"/>
      <c r="F57" s="1"/>
      <c r="G57" s="1"/>
      <c r="H57" s="1"/>
      <c r="I57" s="1"/>
      <c r="J57" s="29"/>
      <c r="K57" s="29"/>
    </row>
    <row r="59" spans="1:11">
      <c r="E59" s="30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L62"/>
  <sheetViews>
    <sheetView topLeftCell="A49" workbookViewId="0">
      <selection activeCell="K56" sqref="K56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22" t="s">
        <v>53</v>
      </c>
      <c r="B43" s="4">
        <v>43377</v>
      </c>
      <c r="C43" s="4">
        <v>43455</v>
      </c>
      <c r="D43" s="5"/>
      <c r="E43" s="5">
        <v>10.86</v>
      </c>
      <c r="F43" s="5">
        <f>26*2+25/30*17</f>
        <v>66.166666666666671</v>
      </c>
      <c r="G43" s="5"/>
      <c r="H43" s="5"/>
      <c r="I43" s="6">
        <v>90</v>
      </c>
      <c r="J43" s="6">
        <v>26</v>
      </c>
      <c r="K43" s="6">
        <f t="shared" si="1"/>
        <v>44.8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>(I46-J46)*0.7</f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54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(I50-J50)*0.7/30*17</f>
        <v>13.883333333333333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(I51-J51)*0.7/30*17</f>
        <v>28.16333333333333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(I52-J52)*0.7/30*17</f>
        <v>25.783333333333331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70</v>
      </c>
      <c r="J53" s="6">
        <v>25</v>
      </c>
      <c r="K53" s="6">
        <f t="shared" si="2"/>
        <v>31.499999999999996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>(I55-J55)*0.7</f>
        <v>6.3</v>
      </c>
    </row>
    <row r="56" spans="1:12">
      <c r="A56" s="10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>(I56-J56)*0.7/30*27</f>
        <v>43.47</v>
      </c>
    </row>
    <row r="57" spans="1:12">
      <c r="A57" s="10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>(I57-J57)*0.7/30*27</f>
        <v>43.47</v>
      </c>
    </row>
    <row r="58" spans="1:12">
      <c r="A58" s="10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>(I58-J58)*0.7/30*25</f>
        <v>40.25</v>
      </c>
      <c r="L58" t="s">
        <v>79</v>
      </c>
    </row>
    <row r="59" spans="1:12">
      <c r="A59" s="19"/>
      <c r="E59" s="34"/>
      <c r="J59" s="8" t="s">
        <v>4</v>
      </c>
      <c r="K59" s="8">
        <f>SUM(K2:K58)</f>
        <v>1761.2699999999998</v>
      </c>
    </row>
    <row r="60" spans="1:12">
      <c r="A60" s="28"/>
      <c r="C60" s="15"/>
      <c r="D60" s="1"/>
      <c r="E60" s="1"/>
      <c r="F60" s="1"/>
      <c r="G60" s="1"/>
      <c r="H60" s="1"/>
      <c r="I60" s="1"/>
      <c r="J60" s="29"/>
      <c r="K60" s="29"/>
    </row>
    <row r="62" spans="1:12">
      <c r="E62" s="30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L62"/>
  <sheetViews>
    <sheetView topLeftCell="A43" workbookViewId="0">
      <selection activeCell="K56" sqref="K56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22" t="s">
        <v>53</v>
      </c>
      <c r="B43" s="4">
        <v>43377</v>
      </c>
      <c r="C43" s="4">
        <v>43455</v>
      </c>
      <c r="D43" s="5"/>
      <c r="E43" s="5">
        <v>10.86</v>
      </c>
      <c r="F43" s="5">
        <f>26*2+25/30*17</f>
        <v>66.166666666666671</v>
      </c>
      <c r="G43" s="5"/>
      <c r="H43" s="5"/>
      <c r="I43" s="6">
        <v>90</v>
      </c>
      <c r="J43" s="6">
        <v>26</v>
      </c>
      <c r="K43" s="6">
        <f t="shared" si="1"/>
        <v>44.8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>(I46-J46)*0.7</f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54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(I50-J50)*0.7/30*17</f>
        <v>13.883333333333333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(I51-J51)*0.7/30*17</f>
        <v>28.16333333333333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(I52-J52)*0.7/30*17</f>
        <v>25.783333333333331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70</v>
      </c>
      <c r="J53" s="6">
        <v>25</v>
      </c>
      <c r="K53" s="6">
        <f t="shared" si="2"/>
        <v>31.499999999999996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>(I55-J55)*0.7</f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>(I56-J56)*0.7</f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>(I57-J57)*0.7</f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>(I58-J58)*0.7</f>
        <v>48.3</v>
      </c>
      <c r="L58" t="s">
        <v>79</v>
      </c>
    </row>
    <row r="59" spans="1:12">
      <c r="A59" s="19"/>
      <c r="E59" s="34"/>
      <c r="J59" s="8" t="s">
        <v>4</v>
      </c>
      <c r="K59" s="8">
        <f>SUM(K2:K58)</f>
        <v>1778.9799999999996</v>
      </c>
    </row>
    <row r="60" spans="1:12">
      <c r="A60" s="28"/>
      <c r="C60" s="15"/>
      <c r="D60" s="1"/>
      <c r="E60" s="1"/>
      <c r="F60" s="1"/>
      <c r="G60" s="1"/>
      <c r="H60" s="1"/>
      <c r="I60" s="1"/>
      <c r="J60" s="29"/>
      <c r="K60" s="29"/>
    </row>
    <row r="62" spans="1:12">
      <c r="E62" s="30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L63"/>
  <sheetViews>
    <sheetView topLeftCell="A49" workbookViewId="0">
      <selection activeCell="K56" sqref="K56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22" t="s">
        <v>53</v>
      </c>
      <c r="B43" s="4">
        <v>43377</v>
      </c>
      <c r="C43" s="4">
        <v>43455</v>
      </c>
      <c r="D43" s="5"/>
      <c r="E43" s="5">
        <v>10.86</v>
      </c>
      <c r="F43" s="5">
        <f>26*2+25/30*17</f>
        <v>66.166666666666671</v>
      </c>
      <c r="G43" s="5"/>
      <c r="H43" s="5"/>
      <c r="I43" s="6">
        <v>90</v>
      </c>
      <c r="J43" s="6">
        <v>26</v>
      </c>
      <c r="K43" s="6">
        <f t="shared" si="1"/>
        <v>44.8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>(I46-J46)*0.7</f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54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(I50-J50)*0.7/30*17</f>
        <v>13.883333333333333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(I51-J51)*0.7/30*17</f>
        <v>28.16333333333333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(I52-J52)*0.7/30*17</f>
        <v>25.783333333333331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70</v>
      </c>
      <c r="J53" s="6">
        <v>25</v>
      </c>
      <c r="K53" s="6">
        <f t="shared" si="2"/>
        <v>31.499999999999996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>(I55-J55)*0.7</f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>(I56-J56)*0.7</f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>(I57-J57)*0.7</f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>(I58-J58)*0.7</f>
        <v>48.3</v>
      </c>
      <c r="L58" t="s">
        <v>79</v>
      </c>
    </row>
    <row r="59" spans="1:12">
      <c r="A59" s="10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>(I59-J59)*0.7/30*10</f>
        <v>10.966666666666667</v>
      </c>
    </row>
    <row r="60" spans="1:12">
      <c r="A60" s="19"/>
      <c r="E60" s="34"/>
      <c r="J60" s="8" t="s">
        <v>4</v>
      </c>
      <c r="K60" s="8">
        <f>SUM(K2:K59)</f>
        <v>1789.9466666666663</v>
      </c>
    </row>
    <row r="61" spans="1:12">
      <c r="A61" s="28"/>
      <c r="C61" s="15"/>
      <c r="D61" s="1"/>
      <c r="E61" s="1"/>
      <c r="F61" s="1"/>
      <c r="G61" s="1"/>
      <c r="H61" s="1"/>
      <c r="I61" s="1"/>
      <c r="J61" s="29"/>
      <c r="K61" s="29"/>
    </row>
    <row r="63" spans="1:12">
      <c r="E63" s="30"/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:L63"/>
  <sheetViews>
    <sheetView topLeftCell="A46" workbookViewId="0">
      <selection activeCell="E62" sqref="E62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f>(I43-J43)*0.7*0.5</f>
        <v>22.4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>(I46-J46)*0.7</f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54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(I50-J50)*0.7/30*17</f>
        <v>13.883333333333333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(I51-J51)*0.7/30*17</f>
        <v>28.16333333333333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(I52-J52)*0.7/30*17</f>
        <v>25.783333333333331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70</v>
      </c>
      <c r="J53" s="6">
        <v>25</v>
      </c>
      <c r="K53" s="6">
        <f t="shared" si="2"/>
        <v>31.499999999999996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>(I55-J55)*0.7</f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>(I56-J56)*0.7</f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>(I57-J57)*0.7</f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>(I58-J58)*0.7</f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>(I59-J59)*0.7</f>
        <v>32.9</v>
      </c>
    </row>
    <row r="60" spans="1:12">
      <c r="A60" s="19"/>
      <c r="E60" s="34"/>
      <c r="J60" s="8" t="s">
        <v>4</v>
      </c>
      <c r="K60" s="8">
        <f>SUM(K2:K59)</f>
        <v>1789.4799999999998</v>
      </c>
    </row>
    <row r="61" spans="1:12">
      <c r="A61" s="28"/>
      <c r="C61" s="15"/>
      <c r="D61" s="1"/>
      <c r="E61" s="1"/>
      <c r="F61" s="1"/>
      <c r="G61" s="1"/>
      <c r="H61" s="1"/>
      <c r="I61" s="1"/>
      <c r="J61" s="29"/>
      <c r="K61" s="29"/>
    </row>
    <row r="63" spans="1:12">
      <c r="E63" s="30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1:L64"/>
  <sheetViews>
    <sheetView topLeftCell="A46" workbookViewId="0">
      <selection activeCell="K58" sqref="K58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29.166666666666668</v>
      </c>
      <c r="G21" s="5"/>
      <c r="H21" s="5"/>
      <c r="I21" s="6">
        <f>90</f>
        <v>90</v>
      </c>
      <c r="J21" s="6">
        <v>25</v>
      </c>
      <c r="K21" s="6">
        <f t="shared" si="0"/>
        <v>45.5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>(I46-J46)*0.7</f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54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(I50-J50)*0.7/30*17</f>
        <v>13.883333333333333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(I51-J51)*0.7/30*17</f>
        <v>28.16333333333333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(I52-J52)*0.7/30*17</f>
        <v>25.783333333333331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70</v>
      </c>
      <c r="J53" s="6">
        <v>25</v>
      </c>
      <c r="K53" s="6">
        <f t="shared" si="2"/>
        <v>31.499999999999996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>(I55-J55)*0.7</f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>(I56-J56)*0.7</f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>(I57-J57)*0.7</f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>(I58-J58)*0.7</f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>(I59-J59)*0.7/30*10</f>
        <v>10.966666666666667</v>
      </c>
    </row>
    <row r="60" spans="1:12">
      <c r="A60" s="10" t="s">
        <v>81</v>
      </c>
      <c r="B60" s="11">
        <v>43788</v>
      </c>
      <c r="C60" s="11">
        <v>43865</v>
      </c>
      <c r="D60" s="12"/>
      <c r="E60" s="12">
        <v>9.14</v>
      </c>
      <c r="F60" s="12">
        <f>25/30*45</f>
        <v>37.5</v>
      </c>
      <c r="G60" s="12"/>
      <c r="H60" s="12"/>
      <c r="I60" s="12">
        <v>90</v>
      </c>
      <c r="J60" s="12">
        <v>25</v>
      </c>
      <c r="K60" s="12">
        <f>(I60-J60)*0.7/30*26</f>
        <v>39.43333333333333</v>
      </c>
    </row>
    <row r="61" spans="1:12">
      <c r="A61" s="19"/>
      <c r="E61" s="34"/>
      <c r="J61" s="8" t="s">
        <v>4</v>
      </c>
      <c r="K61" s="8">
        <f>SUM(K2:K60)</f>
        <v>1784.5799999999997</v>
      </c>
    </row>
    <row r="62" spans="1:12">
      <c r="A62" s="28"/>
      <c r="C62" s="15"/>
      <c r="D62" s="1"/>
      <c r="E62" s="1"/>
      <c r="F62" s="1"/>
      <c r="G62" s="1"/>
      <c r="H62" s="1"/>
      <c r="I62" s="1"/>
      <c r="J62" s="29"/>
      <c r="K62" s="29"/>
    </row>
    <row r="64" spans="1:12">
      <c r="E64" s="30"/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:L72"/>
  <sheetViews>
    <sheetView topLeftCell="A45" workbookViewId="0">
      <selection activeCell="K50" sqref="K50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>(I46-J46)*0.7</f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54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(I50-J50)*0.7/30*17</f>
        <v>13.883333333333333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(I51-J51)*0.7/30*17</f>
        <v>28.16333333333333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(I52-J52)*0.7/30*17</f>
        <v>25.783333333333331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90</v>
      </c>
      <c r="J53" s="6">
        <v>36</v>
      </c>
      <c r="K53" s="6">
        <f t="shared" si="2"/>
        <v>37.799999999999997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ref="K55:K60" si="3">(I55-J55)*0.7</f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3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3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3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3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3"/>
        <v>45.5</v>
      </c>
    </row>
    <row r="61" spans="1:12">
      <c r="A61" s="10" t="s">
        <v>82</v>
      </c>
      <c r="B61" s="11">
        <v>40235</v>
      </c>
      <c r="C61" s="11">
        <v>43901</v>
      </c>
      <c r="D61" s="12"/>
      <c r="E61" s="12">
        <v>9.6</v>
      </c>
      <c r="F61" s="12">
        <f>11/2</f>
        <v>5.5</v>
      </c>
      <c r="G61" s="12"/>
      <c r="H61" s="12"/>
      <c r="I61" s="12">
        <v>25</v>
      </c>
      <c r="J61" s="12">
        <v>11</v>
      </c>
      <c r="K61" s="12">
        <f>(I61-J61)*0.7/30*19</f>
        <v>6.2066666666666652</v>
      </c>
    </row>
    <row r="62" spans="1:12">
      <c r="A62" s="10" t="s">
        <v>89</v>
      </c>
      <c r="B62" s="11">
        <v>43908</v>
      </c>
      <c r="C62" s="11">
        <v>43893</v>
      </c>
      <c r="D62" s="12"/>
      <c r="E62" s="12">
        <v>9.6</v>
      </c>
      <c r="F62" s="12">
        <v>5.5</v>
      </c>
      <c r="G62" s="12"/>
      <c r="H62" s="12"/>
      <c r="I62" s="12">
        <v>25</v>
      </c>
      <c r="J62" s="12">
        <v>11</v>
      </c>
      <c r="K62" s="12">
        <f>(I62-J62)*0.7/30*27</f>
        <v>8.8199999999999985</v>
      </c>
    </row>
    <row r="63" spans="1:12">
      <c r="A63" s="10" t="s">
        <v>83</v>
      </c>
      <c r="B63" s="11">
        <v>43872</v>
      </c>
      <c r="C63" s="11">
        <v>43913</v>
      </c>
      <c r="D63" s="12"/>
      <c r="E63" s="12">
        <v>12.24</v>
      </c>
      <c r="F63" s="12">
        <f>45/30*42</f>
        <v>63</v>
      </c>
      <c r="G63" s="12"/>
      <c r="H63" s="12"/>
      <c r="I63" s="12">
        <v>85</v>
      </c>
      <c r="J63" s="12">
        <v>45</v>
      </c>
      <c r="K63" s="12">
        <f>(I63-J63)*0.7/30*7</f>
        <v>6.5333333333333332</v>
      </c>
    </row>
    <row r="64" spans="1:12">
      <c r="A64" s="10" t="s">
        <v>80</v>
      </c>
      <c r="B64" s="11">
        <v>43873</v>
      </c>
      <c r="C64" s="11">
        <v>43910</v>
      </c>
      <c r="D64" s="12"/>
      <c r="E64" s="12">
        <v>21.84</v>
      </c>
      <c r="F64" s="12">
        <f>56/30*38</f>
        <v>70.933333333333337</v>
      </c>
      <c r="G64" s="12"/>
      <c r="H64" s="12"/>
      <c r="I64" s="12">
        <v>120</v>
      </c>
      <c r="J64" s="12">
        <v>56</v>
      </c>
      <c r="K64" s="12">
        <f>(I64-J64)*0.7/30*10</f>
        <v>14.933333333333332</v>
      </c>
    </row>
    <row r="65" spans="1:11">
      <c r="A65" s="10" t="s">
        <v>84</v>
      </c>
      <c r="B65" s="11">
        <v>43889</v>
      </c>
      <c r="C65" s="11">
        <v>43903</v>
      </c>
      <c r="D65" s="12"/>
      <c r="E65" s="12">
        <v>9.14</v>
      </c>
      <c r="F65" s="12">
        <f>11/30*15</f>
        <v>5.5</v>
      </c>
      <c r="G65" s="12"/>
      <c r="H65" s="12"/>
      <c r="I65" s="12">
        <v>25</v>
      </c>
      <c r="J65" s="12">
        <v>11</v>
      </c>
      <c r="K65" s="12">
        <f>(I65-J65)*0.7/30*17</f>
        <v>5.5533333333333319</v>
      </c>
    </row>
    <row r="66" spans="1:11">
      <c r="A66" s="10" t="s">
        <v>85</v>
      </c>
      <c r="B66" s="11">
        <v>43881</v>
      </c>
      <c r="C66" s="11">
        <v>43895</v>
      </c>
      <c r="D66" s="12"/>
      <c r="E66" s="12">
        <v>9.14</v>
      </c>
      <c r="F66" s="12">
        <f>11/30*15</f>
        <v>5.5</v>
      </c>
      <c r="G66" s="12"/>
      <c r="H66" s="12"/>
      <c r="I66" s="12">
        <v>25</v>
      </c>
      <c r="J66" s="12">
        <v>11</v>
      </c>
      <c r="K66" s="12">
        <f>(I66-J66)*0.7/30*25</f>
        <v>8.1666666666666643</v>
      </c>
    </row>
    <row r="67" spans="1:11">
      <c r="A67" s="10" t="s">
        <v>86</v>
      </c>
      <c r="B67" s="11">
        <v>43882</v>
      </c>
      <c r="C67" s="11">
        <v>43896</v>
      </c>
      <c r="D67" s="12"/>
      <c r="E67" s="12">
        <v>12.19</v>
      </c>
      <c r="F67" s="12">
        <f>22/2</f>
        <v>11</v>
      </c>
      <c r="G67" s="12"/>
      <c r="H67" s="12"/>
      <c r="I67" s="12">
        <v>60</v>
      </c>
      <c r="J67" s="12">
        <v>22</v>
      </c>
      <c r="K67" s="12">
        <f>(I67-J67)*0.7/30*24</f>
        <v>21.279999999999998</v>
      </c>
    </row>
    <row r="68" spans="1:11">
      <c r="A68" s="10" t="s">
        <v>87</v>
      </c>
      <c r="B68" s="11">
        <v>43878</v>
      </c>
      <c r="C68" s="11">
        <v>43892</v>
      </c>
      <c r="D68" s="12"/>
      <c r="E68" s="12">
        <v>12.19</v>
      </c>
      <c r="F68" s="12">
        <v>5.5</v>
      </c>
      <c r="G68" s="12"/>
      <c r="H68" s="12"/>
      <c r="I68" s="12">
        <v>25</v>
      </c>
      <c r="J68" s="12">
        <v>11</v>
      </c>
      <c r="K68" s="12">
        <f>(I68-J68)*0.7/30*28</f>
        <v>9.1466666666666647</v>
      </c>
    </row>
    <row r="69" spans="1:11">
      <c r="A69" s="19"/>
      <c r="E69" s="34"/>
      <c r="J69" s="8" t="s">
        <v>4</v>
      </c>
      <c r="K69" s="8">
        <f>SUM(K2:K68)</f>
        <v>1902.3199999999997</v>
      </c>
    </row>
    <row r="70" spans="1:11">
      <c r="A70" s="28"/>
      <c r="C70" s="15"/>
      <c r="D70" s="1"/>
      <c r="E70" s="1"/>
      <c r="F70" s="1"/>
      <c r="G70" s="1"/>
      <c r="H70" s="1"/>
      <c r="I70" s="1"/>
      <c r="J70" s="29"/>
      <c r="K70" s="29"/>
    </row>
    <row r="72" spans="1:11">
      <c r="E72" s="30"/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:L73"/>
  <sheetViews>
    <sheetView topLeftCell="A54" workbookViewId="0">
      <selection activeCell="A62" sqref="A62:K62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>(I46-J46)*0.7</f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54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(I50-J50)*0.7/30*17</f>
        <v>13.883333333333333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(I51-J51)*0.7/30*17</f>
        <v>28.16333333333333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(I52-J52)*0.7/30*17</f>
        <v>25.783333333333331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90</v>
      </c>
      <c r="J53" s="6">
        <v>36</v>
      </c>
      <c r="K53" s="6">
        <f t="shared" si="2"/>
        <v>37.799999999999997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ref="K55:K68" si="3">(I55-J55)*0.7</f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3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3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3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3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3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3"/>
        <v>9.7999999999999989</v>
      </c>
    </row>
    <row r="62" spans="1:12">
      <c r="A62" s="22" t="s">
        <v>89</v>
      </c>
      <c r="B62" s="35">
        <v>43908</v>
      </c>
      <c r="C62" s="35">
        <v>43893</v>
      </c>
      <c r="D62" s="5"/>
      <c r="E62" s="5">
        <v>9.6</v>
      </c>
      <c r="F62" s="5">
        <v>5.5</v>
      </c>
      <c r="G62" s="5"/>
      <c r="H62" s="5"/>
      <c r="I62" s="6">
        <v>25</v>
      </c>
      <c r="J62" s="6">
        <v>11</v>
      </c>
      <c r="K62" s="6">
        <f t="shared" si="3"/>
        <v>9.7999999999999989</v>
      </c>
    </row>
    <row r="63" spans="1:12">
      <c r="A63" s="22" t="s">
        <v>83</v>
      </c>
      <c r="B63" s="35">
        <v>43872</v>
      </c>
      <c r="C63" s="35">
        <v>43913</v>
      </c>
      <c r="D63" s="5"/>
      <c r="E63" s="5">
        <v>12.24</v>
      </c>
      <c r="F63" s="5">
        <f>45/30*42</f>
        <v>63</v>
      </c>
      <c r="G63" s="5"/>
      <c r="H63" s="5"/>
      <c r="I63" s="6">
        <v>85</v>
      </c>
      <c r="J63" s="6">
        <v>45</v>
      </c>
      <c r="K63" s="6">
        <f t="shared" si="3"/>
        <v>28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3"/>
        <v>44.8</v>
      </c>
    </row>
    <row r="65" spans="1:11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3"/>
        <v>9.7999999999999989</v>
      </c>
    </row>
    <row r="66" spans="1:11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3"/>
        <v>9.7999999999999989</v>
      </c>
    </row>
    <row r="67" spans="1:11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3"/>
        <v>26.599999999999998</v>
      </c>
    </row>
    <row r="68" spans="1:11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3"/>
        <v>9.7999999999999989</v>
      </c>
    </row>
    <row r="69" spans="1:11">
      <c r="A69" s="10" t="s">
        <v>88</v>
      </c>
      <c r="B69" s="11">
        <v>43855</v>
      </c>
      <c r="C69" s="11">
        <v>43941</v>
      </c>
      <c r="D69" s="12"/>
      <c r="E69" s="12">
        <v>13.93</v>
      </c>
      <c r="F69" s="12">
        <f>56/30*85</f>
        <v>158.66666666666666</v>
      </c>
      <c r="G69" s="12"/>
      <c r="H69" s="12"/>
      <c r="I69" s="12">
        <v>110</v>
      </c>
      <c r="J69" s="12">
        <v>56</v>
      </c>
      <c r="K69" s="12">
        <f>(I69-J69)*0.7/30*10</f>
        <v>12.6</v>
      </c>
    </row>
    <row r="70" spans="1:11">
      <c r="A70" s="19"/>
      <c r="E70" s="34"/>
      <c r="J70" s="8" t="s">
        <v>4</v>
      </c>
      <c r="K70" s="8">
        <f>SUM(K2:K69)</f>
        <v>1982.6799999999992</v>
      </c>
    </row>
    <row r="71" spans="1:11">
      <c r="A71" s="28"/>
      <c r="C71" s="15"/>
      <c r="D71" s="1"/>
      <c r="E71" s="1"/>
      <c r="F71" s="1"/>
      <c r="G71" s="1"/>
      <c r="H71" s="1"/>
      <c r="I71" s="1"/>
      <c r="J71" s="29"/>
      <c r="K71" s="29"/>
    </row>
    <row r="73" spans="1:11">
      <c r="E73" s="30"/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1:L73"/>
  <sheetViews>
    <sheetView topLeftCell="A57" workbookViewId="0">
      <selection activeCell="F73" sqref="F73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>(I46-J46)*0.7</f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54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90</v>
      </c>
      <c r="J53" s="6">
        <v>36</v>
      </c>
      <c r="K53" s="6">
        <f t="shared" si="2"/>
        <v>37.799999999999997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ref="K55:K69" si="3">(I55-J55)*0.7</f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3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3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3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3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3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3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3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3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3"/>
        <v>44.8</v>
      </c>
    </row>
    <row r="65" spans="1:11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3"/>
        <v>9.7999999999999989</v>
      </c>
    </row>
    <row r="66" spans="1:11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3"/>
        <v>9.7999999999999989</v>
      </c>
    </row>
    <row r="67" spans="1:11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3"/>
        <v>26.599999999999998</v>
      </c>
    </row>
    <row r="68" spans="1:11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3"/>
        <v>9.7999999999999989</v>
      </c>
    </row>
    <row r="69" spans="1:11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3"/>
        <v>37.799999999999997</v>
      </c>
    </row>
    <row r="70" spans="1:11">
      <c r="A70" s="19"/>
      <c r="E70" s="34"/>
      <c r="J70" s="8" t="s">
        <v>4</v>
      </c>
      <c r="K70" s="8">
        <f>SUM(K2:K69)</f>
        <v>2059.7499999999991</v>
      </c>
    </row>
    <row r="71" spans="1:11">
      <c r="A71" s="28"/>
      <c r="C71" s="15"/>
      <c r="D71" s="1"/>
      <c r="E71" s="1"/>
      <c r="F71" s="1"/>
      <c r="G71" s="1"/>
      <c r="H71" s="1"/>
      <c r="I71" s="1"/>
      <c r="J71" s="29"/>
      <c r="K71" s="29"/>
    </row>
    <row r="73" spans="1:11">
      <c r="E73" s="30"/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:L73"/>
  <sheetViews>
    <sheetView topLeftCell="A52" workbookViewId="0">
      <selection activeCell="I66" sqref="I66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85</v>
      </c>
      <c r="J3" s="6">
        <v>41</v>
      </c>
      <c r="K3" s="6">
        <f t="shared" ref="K3:K30" si="0">(I3-J3)*0.7</f>
        <v>30.799999999999997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>(I46-J46)*0.7</f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90</v>
      </c>
      <c r="J53" s="6">
        <v>36</v>
      </c>
      <c r="K53" s="6">
        <f t="shared" si="2"/>
        <v>37.799999999999997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1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1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1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1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1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1">
      <c r="A70" s="19"/>
      <c r="E70" s="34"/>
      <c r="J70" s="8" t="s">
        <v>4</v>
      </c>
      <c r="K70" s="8">
        <f>SUM(K2:K69)</f>
        <v>2059.7499999999991</v>
      </c>
    </row>
    <row r="71" spans="1:11">
      <c r="A71" s="28"/>
      <c r="C71" s="15"/>
      <c r="D71" s="1"/>
      <c r="E71" s="1"/>
      <c r="F71" s="1"/>
      <c r="G71" s="1"/>
      <c r="H71" s="1"/>
      <c r="I71" s="1"/>
      <c r="J71" s="29"/>
      <c r="K71" s="29"/>
    </row>
    <row r="73" spans="1:11">
      <c r="E73" s="30"/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1:L73"/>
  <sheetViews>
    <sheetView topLeftCell="A55" workbookViewId="0">
      <selection activeCell="K71" sqref="K71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70</v>
      </c>
      <c r="J46" s="6">
        <v>22</v>
      </c>
      <c r="K46" s="6">
        <f>(I46-J46)*0.7</f>
        <v>33.599999999999994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90</v>
      </c>
      <c r="J53" s="6">
        <v>36</v>
      </c>
      <c r="K53" s="6">
        <f t="shared" si="2"/>
        <v>37.799999999999997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1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1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1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1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1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1">
      <c r="A70" s="19"/>
      <c r="E70" s="34"/>
      <c r="J70" s="8" t="s">
        <v>4</v>
      </c>
      <c r="K70" s="8">
        <f>SUM(K2:K69)</f>
        <v>2070.2499999999991</v>
      </c>
    </row>
    <row r="71" spans="1:11">
      <c r="A71" s="28"/>
      <c r="C71" s="15"/>
      <c r="D71" s="1"/>
      <c r="E71" s="1"/>
      <c r="F71" s="1"/>
      <c r="G71" s="1"/>
      <c r="H71" s="1"/>
      <c r="I71" s="1"/>
      <c r="J71" s="29"/>
      <c r="K71" s="29"/>
    </row>
    <row r="73" spans="1:11">
      <c r="E73" s="30"/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1:L77"/>
  <sheetViews>
    <sheetView topLeftCell="A62" workbookViewId="0">
      <selection activeCell="M70" sqref="M70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90</v>
      </c>
      <c r="J53" s="6">
        <v>36</v>
      </c>
      <c r="K53" s="6">
        <f t="shared" si="2"/>
        <v>37.799999999999997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2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2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2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2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2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2">
      <c r="A70" s="38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(I70-J70)*0.7/30*2</f>
        <v>0.8866666666666666</v>
      </c>
    </row>
    <row r="71" spans="1:12">
      <c r="A71" s="10" t="s">
        <v>90</v>
      </c>
      <c r="B71" s="35" t="s">
        <v>96</v>
      </c>
      <c r="C71" s="35">
        <v>40362</v>
      </c>
      <c r="D71" s="5"/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(I71-J71)*0.7/30*27</f>
        <v>24.569999999999997</v>
      </c>
      <c r="L71">
        <v>2.7</v>
      </c>
    </row>
    <row r="72" spans="1:12">
      <c r="A72" s="10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(I72-J72)*0.7/30*6</f>
        <v>7.5600000000000005</v>
      </c>
    </row>
    <row r="73" spans="1:12">
      <c r="A73" s="10" t="s">
        <v>93</v>
      </c>
      <c r="B73" s="35">
        <v>44043</v>
      </c>
      <c r="C73" s="35">
        <v>44043</v>
      </c>
      <c r="D73" s="5"/>
      <c r="E73" s="5">
        <v>27.02</v>
      </c>
      <c r="F73" s="5">
        <v>0</v>
      </c>
      <c r="G73" s="5"/>
      <c r="H73" s="5"/>
      <c r="I73" s="6">
        <v>150</v>
      </c>
      <c r="J73" s="6">
        <f>45+22</f>
        <v>67</v>
      </c>
      <c r="K73" s="6">
        <f>(I73-J73)*0.7/30*1</f>
        <v>1.9366666666666665</v>
      </c>
      <c r="L73">
        <f>10/30*1</f>
        <v>0.33333333333333331</v>
      </c>
    </row>
    <row r="74" spans="1:12">
      <c r="A74" s="19"/>
      <c r="E74" s="34"/>
      <c r="J74" s="8" t="s">
        <v>4</v>
      </c>
      <c r="K74" s="8">
        <f>SUM(K2:K70)</f>
        <v>2071.8366666666661</v>
      </c>
      <c r="L74">
        <f>SUM(L71:L73)</f>
        <v>3.0333333333333337</v>
      </c>
    </row>
    <row r="75" spans="1:12">
      <c r="A75" s="28"/>
      <c r="C75" s="15"/>
      <c r="D75" s="1"/>
      <c r="E75" s="1"/>
      <c r="F75" s="1"/>
      <c r="G75" s="1"/>
      <c r="H75" s="1"/>
      <c r="I75" s="1"/>
      <c r="J75" s="29"/>
      <c r="K75" s="29"/>
    </row>
    <row r="77" spans="1:12">
      <c r="E77" s="30"/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1:L77"/>
  <sheetViews>
    <sheetView topLeftCell="A61" workbookViewId="0">
      <selection activeCell="L71" sqref="L71:L74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2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2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2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2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2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2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2">
      <c r="A71" s="22" t="s">
        <v>90</v>
      </c>
      <c r="B71" s="35" t="s">
        <v>96</v>
      </c>
      <c r="C71" s="35">
        <v>40362</v>
      </c>
      <c r="D71" s="5"/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(I71-J71)*0.7</f>
        <v>27.299999999999997</v>
      </c>
      <c r="L71">
        <v>3</v>
      </c>
    </row>
    <row r="72" spans="1:12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2">
      <c r="A73" s="22" t="s">
        <v>93</v>
      </c>
      <c r="B73" s="35">
        <v>44043</v>
      </c>
      <c r="C73" s="35">
        <v>44043</v>
      </c>
      <c r="D73" s="5"/>
      <c r="E73" s="5">
        <v>27.02</v>
      </c>
      <c r="F73" s="5">
        <v>0</v>
      </c>
      <c r="G73" s="5"/>
      <c r="H73" s="5"/>
      <c r="I73" s="6">
        <v>150</v>
      </c>
      <c r="J73" s="6">
        <f>45+22</f>
        <v>67</v>
      </c>
      <c r="K73" s="6">
        <f>(I73-J73)*0.7</f>
        <v>58.099999999999994</v>
      </c>
      <c r="L73">
        <v>10</v>
      </c>
    </row>
    <row r="74" spans="1:12">
      <c r="A74" s="19"/>
      <c r="E74" s="34"/>
      <c r="J74" s="8" t="s">
        <v>4</v>
      </c>
      <c r="K74" s="8">
        <f>SUM(K2:K73)</f>
        <v>2211.6499999999996</v>
      </c>
      <c r="L74">
        <f>SUM(L71:L73)</f>
        <v>13</v>
      </c>
    </row>
    <row r="75" spans="1:12">
      <c r="A75" s="28"/>
      <c r="C75" s="15"/>
      <c r="D75" s="1"/>
      <c r="E75" s="1"/>
      <c r="F75" s="1"/>
      <c r="G75" s="1"/>
      <c r="H75" s="1"/>
      <c r="I75" s="1"/>
      <c r="J75" s="29"/>
      <c r="K75" s="29"/>
    </row>
    <row r="77" spans="1:12">
      <c r="E77" s="30"/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1:L80"/>
  <sheetViews>
    <sheetView topLeftCell="A67" workbookViewId="0">
      <selection activeCell="I78" sqref="I78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2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2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2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2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2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2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2">
      <c r="A71" s="22" t="s">
        <v>90</v>
      </c>
      <c r="B71" s="35" t="s">
        <v>96</v>
      </c>
      <c r="C71" s="35">
        <v>40362</v>
      </c>
      <c r="D71" s="5"/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(I71-J71)*0.7</f>
        <v>27.299999999999997</v>
      </c>
      <c r="L71">
        <v>3</v>
      </c>
    </row>
    <row r="72" spans="1:12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2">
      <c r="A73" s="22" t="s">
        <v>93</v>
      </c>
      <c r="B73" s="35">
        <v>44043</v>
      </c>
      <c r="C73" s="35">
        <v>44043</v>
      </c>
      <c r="D73" s="5"/>
      <c r="E73" s="5">
        <v>27.02</v>
      </c>
      <c r="F73" s="5">
        <v>0</v>
      </c>
      <c r="G73" s="5"/>
      <c r="H73" s="5"/>
      <c r="I73" s="6">
        <v>150</v>
      </c>
      <c r="J73" s="6">
        <f>45+22</f>
        <v>67</v>
      </c>
      <c r="K73" s="6">
        <f>(I73-J73)*0.7</f>
        <v>58.099999999999994</v>
      </c>
      <c r="L73">
        <v>10</v>
      </c>
    </row>
    <row r="74" spans="1:12">
      <c r="A74" s="10" t="s">
        <v>91</v>
      </c>
      <c r="B74" s="35">
        <v>44011</v>
      </c>
      <c r="C74" s="35">
        <v>44084</v>
      </c>
      <c r="D74" s="5"/>
      <c r="E74" s="5">
        <v>11.29</v>
      </c>
      <c r="F74" s="5">
        <f>25/30*71</f>
        <v>59.166666666666671</v>
      </c>
      <c r="G74" s="5"/>
      <c r="H74" s="5"/>
      <c r="I74" s="6">
        <v>40</v>
      </c>
      <c r="J74" s="6">
        <v>25</v>
      </c>
      <c r="K74" s="6">
        <f>(I74-J74)*0.7/30*20</f>
        <v>7</v>
      </c>
    </row>
    <row r="75" spans="1:12">
      <c r="A75" s="10" t="s">
        <v>98</v>
      </c>
      <c r="B75" s="35">
        <v>44048</v>
      </c>
      <c r="C75" s="35">
        <v>44081</v>
      </c>
      <c r="D75" s="5"/>
      <c r="E75" s="5">
        <v>27.88</v>
      </c>
      <c r="F75" s="5">
        <f>58/30*32</f>
        <v>61.866666666666667</v>
      </c>
      <c r="G75" s="5"/>
      <c r="H75" s="5"/>
      <c r="I75" s="6">
        <v>140</v>
      </c>
      <c r="J75" s="6">
        <f>25+33</f>
        <v>58</v>
      </c>
      <c r="K75" s="6">
        <f>(I75-J75)*0.7/30*23</f>
        <v>44.006666666666668</v>
      </c>
      <c r="L75">
        <f>10/30*23*0.3</f>
        <v>2.2999999999999998</v>
      </c>
    </row>
    <row r="76" spans="1:12">
      <c r="A76" s="10" t="s">
        <v>92</v>
      </c>
      <c r="B76" s="35">
        <v>44012</v>
      </c>
      <c r="C76" s="35">
        <v>44096</v>
      </c>
      <c r="D76" s="5"/>
      <c r="E76" s="5">
        <v>11.4</v>
      </c>
      <c r="F76" s="5">
        <f>25/30*82</f>
        <v>68.333333333333343</v>
      </c>
      <c r="G76" s="5"/>
      <c r="H76" s="5"/>
      <c r="I76" s="6">
        <v>70</v>
      </c>
      <c r="J76" s="6">
        <v>25</v>
      </c>
      <c r="K76" s="6">
        <f>(I76-J76)*0.7/30*8</f>
        <v>8.3999999999999986</v>
      </c>
    </row>
    <row r="77" spans="1:12">
      <c r="A77" s="19"/>
      <c r="E77" s="34"/>
      <c r="J77" s="8" t="s">
        <v>4</v>
      </c>
      <c r="K77" s="8">
        <f>SUM(K2:K76)</f>
        <v>2271.0566666666664</v>
      </c>
      <c r="L77">
        <f>SUM(L71:L76)</f>
        <v>15.3</v>
      </c>
    </row>
    <row r="78" spans="1:12">
      <c r="A78" s="28"/>
      <c r="C78" s="15"/>
      <c r="D78" s="1"/>
      <c r="E78" s="1"/>
      <c r="F78" s="1"/>
      <c r="G78" s="1"/>
      <c r="H78" s="1"/>
      <c r="I78" s="1"/>
      <c r="J78" s="29"/>
      <c r="K78" s="29"/>
    </row>
    <row r="80" spans="1:12">
      <c r="E80" s="30"/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1:L86"/>
  <sheetViews>
    <sheetView topLeftCell="A67" workbookViewId="0">
      <selection activeCell="K84" sqref="K84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2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2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2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2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2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2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2">
      <c r="A71" s="22" t="s">
        <v>90</v>
      </c>
      <c r="B71" s="35" t="s">
        <v>96</v>
      </c>
      <c r="C71" s="35">
        <v>40362</v>
      </c>
      <c r="D71" s="5"/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(I71-J71)*0.7</f>
        <v>27.299999999999997</v>
      </c>
      <c r="L71">
        <v>3</v>
      </c>
    </row>
    <row r="72" spans="1:12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2">
      <c r="A73" s="22" t="s">
        <v>93</v>
      </c>
      <c r="B73" s="35">
        <v>44043</v>
      </c>
      <c r="C73" s="35">
        <v>44043</v>
      </c>
      <c r="D73" s="5"/>
      <c r="E73" s="5">
        <v>27.02</v>
      </c>
      <c r="F73" s="5">
        <v>0</v>
      </c>
      <c r="G73" s="5"/>
      <c r="H73" s="5"/>
      <c r="I73" s="6">
        <v>150</v>
      </c>
      <c r="J73" s="6">
        <f>45+22</f>
        <v>67</v>
      </c>
      <c r="K73" s="6">
        <f>(I73-J73)*0.7</f>
        <v>58.099999999999994</v>
      </c>
      <c r="L73">
        <v>10</v>
      </c>
    </row>
    <row r="74" spans="1:12">
      <c r="A74" s="22" t="s">
        <v>91</v>
      </c>
      <c r="B74" s="35">
        <v>44011</v>
      </c>
      <c r="C74" s="35">
        <v>44084</v>
      </c>
      <c r="D74" s="5"/>
      <c r="E74" s="5">
        <v>11.29</v>
      </c>
      <c r="F74" s="5">
        <f>25/30*71</f>
        <v>59.166666666666671</v>
      </c>
      <c r="G74" s="5"/>
      <c r="H74" s="5"/>
      <c r="I74" s="6">
        <v>40</v>
      </c>
      <c r="J74" s="6">
        <v>25</v>
      </c>
      <c r="K74" s="6">
        <f t="shared" ref="K74:K76" si="3">(I74-J74)*0.7</f>
        <v>10.5</v>
      </c>
    </row>
    <row r="75" spans="1:12">
      <c r="A75" s="22" t="s">
        <v>98</v>
      </c>
      <c r="B75" s="35">
        <v>44048</v>
      </c>
      <c r="C75" s="35">
        <v>44081</v>
      </c>
      <c r="D75" s="5"/>
      <c r="E75" s="5">
        <v>27.88</v>
      </c>
      <c r="F75" s="5">
        <f>58/30*32</f>
        <v>61.866666666666667</v>
      </c>
      <c r="G75" s="5"/>
      <c r="H75" s="5"/>
      <c r="I75" s="6">
        <v>140</v>
      </c>
      <c r="J75" s="6">
        <f>25+33</f>
        <v>58</v>
      </c>
      <c r="K75" s="6">
        <f t="shared" si="3"/>
        <v>57.4</v>
      </c>
      <c r="L75">
        <v>3</v>
      </c>
    </row>
    <row r="76" spans="1:12">
      <c r="A76" s="22" t="s">
        <v>92</v>
      </c>
      <c r="B76" s="35">
        <v>44012</v>
      </c>
      <c r="C76" s="35">
        <v>44096</v>
      </c>
      <c r="D76" s="5"/>
      <c r="E76" s="5">
        <v>11.4</v>
      </c>
      <c r="F76" s="5">
        <f>25/30*82</f>
        <v>68.333333333333343</v>
      </c>
      <c r="G76" s="5"/>
      <c r="H76" s="5"/>
      <c r="I76" s="6">
        <v>70</v>
      </c>
      <c r="J76" s="6">
        <v>25</v>
      </c>
      <c r="K76" s="6">
        <f t="shared" si="3"/>
        <v>31.499999999999996</v>
      </c>
    </row>
    <row r="77" spans="1:12">
      <c r="A77" s="10" t="s">
        <v>99</v>
      </c>
      <c r="B77" s="35">
        <v>44084</v>
      </c>
      <c r="C77" s="35">
        <v>44105</v>
      </c>
      <c r="D77" s="5"/>
      <c r="E77" s="5">
        <v>12.24</v>
      </c>
      <c r="F77" s="5">
        <f>25/30*20</f>
        <v>16.666666666666668</v>
      </c>
      <c r="G77" s="5"/>
      <c r="H77" s="5"/>
      <c r="I77" s="6">
        <v>80</v>
      </c>
      <c r="J77" s="6">
        <v>25</v>
      </c>
      <c r="K77" s="6">
        <f>(I77-J77)*0.7/30*20</f>
        <v>25.666666666666668</v>
      </c>
      <c r="L77">
        <f>10/30*20*0.3</f>
        <v>1.9999999999999998</v>
      </c>
    </row>
    <row r="78" spans="1:12">
      <c r="A78" s="10" t="s">
        <v>94</v>
      </c>
      <c r="B78" s="35">
        <v>44124</v>
      </c>
      <c r="C78" s="35">
        <v>44124</v>
      </c>
      <c r="D78" s="5"/>
      <c r="E78" s="5">
        <v>7.25</v>
      </c>
      <c r="F78" s="5">
        <v>0</v>
      </c>
      <c r="G78" s="5"/>
      <c r="H78" s="5"/>
      <c r="I78" s="6">
        <v>25</v>
      </c>
      <c r="J78" s="6">
        <v>11</v>
      </c>
      <c r="K78" s="6">
        <f>(I78-J78)*0.7/30*10</f>
        <v>3.2666666666666662</v>
      </c>
    </row>
    <row r="79" spans="1:12">
      <c r="A79" s="10" t="s">
        <v>100</v>
      </c>
      <c r="B79" s="4">
        <v>44018</v>
      </c>
      <c r="C79" s="4">
        <v>44124</v>
      </c>
      <c r="D79" s="40"/>
      <c r="E79" s="5">
        <v>9.5</v>
      </c>
      <c r="F79" s="5">
        <f>25/30*104</f>
        <v>86.666666666666671</v>
      </c>
      <c r="G79" s="5"/>
      <c r="H79" s="5"/>
      <c r="I79" s="6">
        <v>70</v>
      </c>
      <c r="J79" s="6">
        <v>25</v>
      </c>
      <c r="K79" s="6">
        <f>(I79-J79)*0.7/30*10</f>
        <v>10.499999999999998</v>
      </c>
    </row>
    <row r="80" spans="1:12">
      <c r="A80" s="10" t="s">
        <v>101</v>
      </c>
      <c r="B80" s="4">
        <v>44070</v>
      </c>
      <c r="C80" s="4">
        <v>44131</v>
      </c>
      <c r="D80" s="40"/>
      <c r="E80" s="5">
        <v>13.93</v>
      </c>
      <c r="F80" s="5">
        <f>71/30*60</f>
        <v>142</v>
      </c>
      <c r="G80" s="5"/>
      <c r="H80" s="5"/>
      <c r="I80" s="6">
        <v>120</v>
      </c>
      <c r="J80" s="6">
        <f>60+11</f>
        <v>71</v>
      </c>
      <c r="K80" s="6">
        <f>(I80-J80)*0.7/30*3</f>
        <v>3.4299999999999997</v>
      </c>
    </row>
    <row r="81" spans="1:12">
      <c r="A81" s="10" t="s">
        <v>102</v>
      </c>
      <c r="B81" s="4" t="s">
        <v>103</v>
      </c>
      <c r="C81" s="4">
        <v>44110</v>
      </c>
      <c r="D81" s="40"/>
      <c r="E81" s="5">
        <v>36.65</v>
      </c>
      <c r="F81" s="5">
        <f>115/30*26</f>
        <v>99.666666666666671</v>
      </c>
      <c r="G81" s="5"/>
      <c r="H81" s="5"/>
      <c r="I81" s="6">
        <v>170</v>
      </c>
      <c r="J81" s="6">
        <v>115</v>
      </c>
      <c r="K81" s="6">
        <f>(I81-J81)*0.7/30*24</f>
        <v>30.800000000000004</v>
      </c>
    </row>
    <row r="82" spans="1:12">
      <c r="A82" s="22" t="s">
        <v>120</v>
      </c>
      <c r="B82" s="4">
        <v>44169</v>
      </c>
      <c r="C82" s="4">
        <v>44208</v>
      </c>
      <c r="D82" s="40" t="s">
        <v>106</v>
      </c>
      <c r="E82" s="5"/>
      <c r="F82" s="5">
        <f>41/30*38</f>
        <v>51.933333333333337</v>
      </c>
      <c r="G82" s="5"/>
      <c r="H82" s="5"/>
      <c r="I82" s="6">
        <v>65</v>
      </c>
      <c r="J82" s="6">
        <v>45</v>
      </c>
      <c r="K82" s="6">
        <f>10+14*0.7</f>
        <v>19.799999999999997</v>
      </c>
      <c r="L82">
        <f>SUM(L71:L81)</f>
        <v>18</v>
      </c>
    </row>
    <row r="83" spans="1:12">
      <c r="A83" s="19"/>
      <c r="B83" s="15"/>
      <c r="C83" s="15"/>
      <c r="E83" s="34"/>
      <c r="J83" s="8" t="s">
        <v>4</v>
      </c>
      <c r="K83" s="8">
        <f>SUM(K2:K82)</f>
        <v>2404.5133333333333</v>
      </c>
    </row>
    <row r="84" spans="1:12">
      <c r="A84" s="28"/>
      <c r="C84" s="15"/>
      <c r="D84" s="1"/>
      <c r="E84" s="1"/>
      <c r="F84" s="1"/>
      <c r="G84" s="1"/>
      <c r="H84" s="1"/>
      <c r="I84" s="1"/>
      <c r="J84" s="29"/>
      <c r="K84" s="29"/>
    </row>
    <row r="86" spans="1:12">
      <c r="E86" s="30"/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1:L86"/>
  <sheetViews>
    <sheetView topLeftCell="A67" workbookViewId="0">
      <selection activeCell="K71" sqref="K71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2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2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2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2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2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2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2">
      <c r="A71" s="22" t="s">
        <v>90</v>
      </c>
      <c r="B71" s="35" t="s">
        <v>96</v>
      </c>
      <c r="C71" s="35">
        <v>40362</v>
      </c>
      <c r="D71" s="5"/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(I71-J71)*0.7</f>
        <v>27.299999999999997</v>
      </c>
      <c r="L71">
        <v>3</v>
      </c>
    </row>
    <row r="72" spans="1:12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2">
      <c r="A73" s="22" t="s">
        <v>93</v>
      </c>
      <c r="B73" s="35">
        <v>44043</v>
      </c>
      <c r="C73" s="35">
        <v>44043</v>
      </c>
      <c r="D73" s="5"/>
      <c r="E73" s="5">
        <v>27.02</v>
      </c>
      <c r="F73" s="5">
        <v>0</v>
      </c>
      <c r="G73" s="5"/>
      <c r="H73" s="5"/>
      <c r="I73" s="6">
        <v>150</v>
      </c>
      <c r="J73" s="6">
        <f>45+22</f>
        <v>67</v>
      </c>
      <c r="K73" s="6">
        <f>(I73-J73)*0.7</f>
        <v>58.099999999999994</v>
      </c>
      <c r="L73">
        <v>10</v>
      </c>
    </row>
    <row r="74" spans="1:12">
      <c r="A74" s="22" t="s">
        <v>91</v>
      </c>
      <c r="B74" s="35">
        <v>44011</v>
      </c>
      <c r="C74" s="35">
        <v>44084</v>
      </c>
      <c r="D74" s="5"/>
      <c r="E74" s="5">
        <v>11.29</v>
      </c>
      <c r="F74" s="5">
        <f>25/30*71</f>
        <v>59.166666666666671</v>
      </c>
      <c r="G74" s="5"/>
      <c r="H74" s="5"/>
      <c r="I74" s="6">
        <v>40</v>
      </c>
      <c r="J74" s="6">
        <v>25</v>
      </c>
      <c r="K74" s="6">
        <f t="shared" ref="K74:K80" si="3">(I74-J74)*0.7</f>
        <v>10.5</v>
      </c>
    </row>
    <row r="75" spans="1:12">
      <c r="A75" s="22" t="s">
        <v>98</v>
      </c>
      <c r="B75" s="35">
        <v>44048</v>
      </c>
      <c r="C75" s="35">
        <v>44081</v>
      </c>
      <c r="D75" s="5"/>
      <c r="E75" s="5">
        <v>27.88</v>
      </c>
      <c r="F75" s="5">
        <f>58/30*32</f>
        <v>61.866666666666667</v>
      </c>
      <c r="G75" s="5"/>
      <c r="H75" s="5"/>
      <c r="I75" s="6">
        <v>140</v>
      </c>
      <c r="J75" s="6">
        <f>25+33</f>
        <v>58</v>
      </c>
      <c r="K75" s="6">
        <f t="shared" si="3"/>
        <v>57.4</v>
      </c>
      <c r="L75">
        <v>3</v>
      </c>
    </row>
    <row r="76" spans="1:12">
      <c r="A76" s="22" t="s">
        <v>92</v>
      </c>
      <c r="B76" s="35">
        <v>44012</v>
      </c>
      <c r="C76" s="35">
        <v>44096</v>
      </c>
      <c r="D76" s="5"/>
      <c r="E76" s="5">
        <v>11.4</v>
      </c>
      <c r="F76" s="5">
        <f>25/30*82</f>
        <v>68.333333333333343</v>
      </c>
      <c r="G76" s="5"/>
      <c r="H76" s="5"/>
      <c r="I76" s="6">
        <v>70</v>
      </c>
      <c r="J76" s="6">
        <v>25</v>
      </c>
      <c r="K76" s="6">
        <f t="shared" si="3"/>
        <v>31.499999999999996</v>
      </c>
    </row>
    <row r="77" spans="1:12">
      <c r="A77" s="2" t="s">
        <v>99</v>
      </c>
      <c r="B77" s="35">
        <v>44084</v>
      </c>
      <c r="C77" s="35">
        <v>44105</v>
      </c>
      <c r="D77" s="5"/>
      <c r="E77" s="5">
        <v>12.24</v>
      </c>
      <c r="F77" s="5">
        <f>25/30*20</f>
        <v>16.666666666666668</v>
      </c>
      <c r="G77" s="5"/>
      <c r="H77" s="5"/>
      <c r="I77" s="6">
        <v>80</v>
      </c>
      <c r="J77" s="6">
        <v>25</v>
      </c>
      <c r="K77" s="6">
        <f t="shared" si="3"/>
        <v>38.5</v>
      </c>
      <c r="L77">
        <v>10</v>
      </c>
    </row>
    <row r="78" spans="1:12">
      <c r="A78" s="2" t="s">
        <v>94</v>
      </c>
      <c r="B78" s="35">
        <v>44124</v>
      </c>
      <c r="C78" s="35">
        <v>44124</v>
      </c>
      <c r="D78" s="5"/>
      <c r="E78" s="5">
        <v>7.25</v>
      </c>
      <c r="F78" s="5">
        <v>0</v>
      </c>
      <c r="G78" s="5"/>
      <c r="H78" s="5"/>
      <c r="I78" s="6">
        <v>25</v>
      </c>
      <c r="J78" s="6">
        <v>11</v>
      </c>
      <c r="K78" s="6">
        <f t="shared" si="3"/>
        <v>9.7999999999999989</v>
      </c>
    </row>
    <row r="79" spans="1:12">
      <c r="A79" s="2" t="s">
        <v>100</v>
      </c>
      <c r="B79" s="4">
        <v>44018</v>
      </c>
      <c r="C79" s="4">
        <v>44124</v>
      </c>
      <c r="D79" s="40"/>
      <c r="E79" s="5">
        <v>9.5</v>
      </c>
      <c r="F79" s="5">
        <f>25/30*104</f>
        <v>86.666666666666671</v>
      </c>
      <c r="G79" s="5"/>
      <c r="H79" s="5"/>
      <c r="I79" s="6">
        <v>70</v>
      </c>
      <c r="J79" s="6">
        <v>25</v>
      </c>
      <c r="K79" s="6">
        <f t="shared" si="3"/>
        <v>31.499999999999996</v>
      </c>
    </row>
    <row r="80" spans="1:12">
      <c r="A80" s="2" t="s">
        <v>101</v>
      </c>
      <c r="B80" s="4">
        <v>44070</v>
      </c>
      <c r="C80" s="4">
        <v>44131</v>
      </c>
      <c r="D80" s="40"/>
      <c r="E80" s="5">
        <v>13.93</v>
      </c>
      <c r="F80" s="5">
        <f>71/30*60</f>
        <v>142</v>
      </c>
      <c r="G80" s="5"/>
      <c r="H80" s="5"/>
      <c r="I80" s="6">
        <v>120</v>
      </c>
      <c r="J80" s="6">
        <f>60+11</f>
        <v>71</v>
      </c>
      <c r="K80" s="6">
        <f t="shared" si="3"/>
        <v>34.299999999999997</v>
      </c>
    </row>
    <row r="81" spans="1:12">
      <c r="A81" s="2" t="s">
        <v>102</v>
      </c>
      <c r="B81" s="4" t="s">
        <v>103</v>
      </c>
      <c r="C81" s="4">
        <v>44110</v>
      </c>
      <c r="D81" s="40"/>
      <c r="E81" s="5">
        <v>36.65</v>
      </c>
      <c r="F81" s="5">
        <f>115/30*26</f>
        <v>99.666666666666671</v>
      </c>
      <c r="G81" s="5"/>
      <c r="H81" s="5"/>
      <c r="I81" s="6">
        <v>180</v>
      </c>
      <c r="J81" s="6">
        <v>115</v>
      </c>
      <c r="K81" s="6">
        <f>10+(I81-J81)*0.7</f>
        <v>55.5</v>
      </c>
    </row>
    <row r="82" spans="1:12">
      <c r="A82" s="10" t="s">
        <v>104</v>
      </c>
      <c r="B82" s="4">
        <v>44159</v>
      </c>
      <c r="C82" s="4">
        <v>44187</v>
      </c>
      <c r="D82" s="40"/>
      <c r="E82" s="5">
        <v>13.93</v>
      </c>
      <c r="F82" s="5">
        <f>36/30*28</f>
        <v>33.6</v>
      </c>
      <c r="G82" s="5"/>
      <c r="H82" s="5"/>
      <c r="I82" s="6">
        <v>110</v>
      </c>
      <c r="J82" s="6">
        <f>25+11</f>
        <v>36</v>
      </c>
      <c r="K82" s="6">
        <f>(I82-J82)*0.7/30*8</f>
        <v>13.813333333333333</v>
      </c>
    </row>
    <row r="83" spans="1:12">
      <c r="A83" s="19"/>
      <c r="B83" s="15"/>
      <c r="C83" s="15"/>
      <c r="E83" s="34"/>
      <c r="J83" s="8" t="s">
        <v>4</v>
      </c>
      <c r="K83" s="8">
        <f>SUM(K2:K82)</f>
        <v>2494.4633333333336</v>
      </c>
      <c r="L83">
        <f>SUM(L71:L82)</f>
        <v>26</v>
      </c>
    </row>
    <row r="84" spans="1:12">
      <c r="A84" s="28"/>
      <c r="C84" s="15"/>
      <c r="D84" s="1"/>
      <c r="E84" s="1"/>
      <c r="F84" s="1"/>
      <c r="G84" s="1"/>
      <c r="H84" s="1"/>
      <c r="I84" s="1"/>
      <c r="J84" s="29"/>
      <c r="K84" s="29"/>
    </row>
    <row r="86" spans="1:12">
      <c r="E86" s="30"/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dimension ref="A1:M86"/>
  <sheetViews>
    <sheetView topLeftCell="A72" workbookViewId="0">
      <selection activeCell="J82" sqref="J82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105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3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3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3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3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3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3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3">
      <c r="A71" s="22" t="s">
        <v>90</v>
      </c>
      <c r="B71" s="35" t="s">
        <v>96</v>
      </c>
      <c r="C71" s="35">
        <v>40362</v>
      </c>
      <c r="D71" s="5" t="s">
        <v>106</v>
      </c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12.5+(26.5)*0.7</f>
        <v>31.049999999999997</v>
      </c>
      <c r="M71" s="41"/>
    </row>
    <row r="72" spans="1:13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3">
      <c r="A73" s="22" t="s">
        <v>93</v>
      </c>
      <c r="B73" s="35">
        <v>44043</v>
      </c>
      <c r="C73" s="35">
        <v>44043</v>
      </c>
      <c r="D73" s="5" t="s">
        <v>106</v>
      </c>
      <c r="E73" s="5">
        <v>27.02</v>
      </c>
      <c r="F73" s="5">
        <v>0</v>
      </c>
      <c r="G73" s="5"/>
      <c r="H73" s="5"/>
      <c r="I73" s="6">
        <v>150</v>
      </c>
      <c r="J73" s="6">
        <f>45+22</f>
        <v>67</v>
      </c>
      <c r="K73" s="6">
        <f>15+78*0.7</f>
        <v>69.599999999999994</v>
      </c>
      <c r="M73" s="41"/>
    </row>
    <row r="74" spans="1:13">
      <c r="A74" s="22" t="s">
        <v>91</v>
      </c>
      <c r="B74" s="35">
        <v>44011</v>
      </c>
      <c r="C74" s="35">
        <v>44084</v>
      </c>
      <c r="D74" s="5"/>
      <c r="E74" s="5">
        <v>11.29</v>
      </c>
      <c r="F74" s="5">
        <f>25/30*71</f>
        <v>59.166666666666671</v>
      </c>
      <c r="G74" s="5"/>
      <c r="H74" s="5"/>
      <c r="I74" s="6">
        <v>40</v>
      </c>
      <c r="J74" s="6">
        <v>25</v>
      </c>
      <c r="K74" s="6">
        <f t="shared" ref="K74:K81" si="3">(I74-J74)*0.7</f>
        <v>10.5</v>
      </c>
    </row>
    <row r="75" spans="1:13">
      <c r="A75" s="22" t="s">
        <v>98</v>
      </c>
      <c r="B75" s="35">
        <v>44048</v>
      </c>
      <c r="C75" s="35">
        <v>44081</v>
      </c>
      <c r="D75" s="5" t="s">
        <v>106</v>
      </c>
      <c r="E75" s="5">
        <v>27.88</v>
      </c>
      <c r="F75" s="5">
        <f>58/30*32</f>
        <v>61.866666666666667</v>
      </c>
      <c r="G75" s="5"/>
      <c r="H75" s="5"/>
      <c r="I75" s="6">
        <v>130</v>
      </c>
      <c r="J75" s="6">
        <f>25+33</f>
        <v>58</v>
      </c>
      <c r="K75" s="6">
        <f>17.5+64.5*0.7</f>
        <v>62.65</v>
      </c>
      <c r="M75" s="41"/>
    </row>
    <row r="76" spans="1:13">
      <c r="A76" s="22" t="s">
        <v>92</v>
      </c>
      <c r="B76" s="35">
        <v>44012</v>
      </c>
      <c r="C76" s="35">
        <v>44096</v>
      </c>
      <c r="D76" s="5"/>
      <c r="E76" s="5">
        <v>11.4</v>
      </c>
      <c r="F76" s="5">
        <f>25/30*82</f>
        <v>68.333333333333343</v>
      </c>
      <c r="G76" s="5"/>
      <c r="H76" s="5"/>
      <c r="I76" s="6">
        <v>70</v>
      </c>
      <c r="J76" s="6">
        <v>25</v>
      </c>
      <c r="K76" s="6">
        <f t="shared" si="3"/>
        <v>31.499999999999996</v>
      </c>
    </row>
    <row r="77" spans="1:13">
      <c r="A77" s="2" t="s">
        <v>99</v>
      </c>
      <c r="B77" s="35">
        <v>44084</v>
      </c>
      <c r="C77" s="35">
        <v>44105</v>
      </c>
      <c r="D77" s="5"/>
      <c r="E77" s="5">
        <v>12.24</v>
      </c>
      <c r="F77" s="5">
        <f>25/30*20</f>
        <v>16.666666666666668</v>
      </c>
      <c r="G77" s="5"/>
      <c r="H77" s="5"/>
      <c r="I77" s="6">
        <v>80</v>
      </c>
      <c r="J77" s="6">
        <v>25</v>
      </c>
      <c r="K77" s="6">
        <f t="shared" si="3"/>
        <v>38.5</v>
      </c>
      <c r="M77" s="41"/>
    </row>
    <row r="78" spans="1:13">
      <c r="A78" s="2" t="s">
        <v>94</v>
      </c>
      <c r="B78" s="35">
        <v>44124</v>
      </c>
      <c r="C78" s="35">
        <v>44124</v>
      </c>
      <c r="D78" s="5"/>
      <c r="E78" s="5">
        <v>7.25</v>
      </c>
      <c r="F78" s="5">
        <v>0</v>
      </c>
      <c r="G78" s="5"/>
      <c r="H78" s="5"/>
      <c r="I78" s="6">
        <v>25</v>
      </c>
      <c r="J78" s="6">
        <v>11</v>
      </c>
      <c r="K78" s="6">
        <f t="shared" si="3"/>
        <v>9.7999999999999989</v>
      </c>
    </row>
    <row r="79" spans="1:13">
      <c r="A79" s="2" t="s">
        <v>100</v>
      </c>
      <c r="B79" s="4">
        <v>44018</v>
      </c>
      <c r="C79" s="4">
        <v>44124</v>
      </c>
      <c r="D79" s="40"/>
      <c r="E79" s="5">
        <v>9.5</v>
      </c>
      <c r="F79" s="5">
        <f>25/30*104</f>
        <v>86.666666666666671</v>
      </c>
      <c r="G79" s="5"/>
      <c r="H79" s="5"/>
      <c r="I79" s="6">
        <v>70</v>
      </c>
      <c r="J79" s="6">
        <v>25</v>
      </c>
      <c r="K79" s="6">
        <f t="shared" si="3"/>
        <v>31.499999999999996</v>
      </c>
    </row>
    <row r="80" spans="1:13">
      <c r="A80" s="2" t="s">
        <v>101</v>
      </c>
      <c r="B80" s="4">
        <v>44070</v>
      </c>
      <c r="C80" s="4">
        <v>44131</v>
      </c>
      <c r="D80" s="40"/>
      <c r="E80" s="5">
        <v>13.93</v>
      </c>
      <c r="F80" s="5">
        <f>71/30*60</f>
        <v>142</v>
      </c>
      <c r="G80" s="5"/>
      <c r="H80" s="5"/>
      <c r="I80" s="6">
        <v>120</v>
      </c>
      <c r="J80" s="6">
        <f>60+11</f>
        <v>71</v>
      </c>
      <c r="K80" s="6">
        <f t="shared" si="3"/>
        <v>34.299999999999997</v>
      </c>
    </row>
    <row r="81" spans="1:13">
      <c r="A81" s="2" t="s">
        <v>102</v>
      </c>
      <c r="B81" s="4" t="s">
        <v>103</v>
      </c>
      <c r="C81" s="4">
        <v>44110</v>
      </c>
      <c r="D81" s="40"/>
      <c r="E81" s="5">
        <v>36.65</v>
      </c>
      <c r="F81" s="5">
        <f>115/30*26</f>
        <v>99.666666666666671</v>
      </c>
      <c r="G81" s="5"/>
      <c r="H81" s="5"/>
      <c r="I81" s="6">
        <v>170</v>
      </c>
      <c r="J81" s="6">
        <v>115</v>
      </c>
      <c r="K81" s="6">
        <f t="shared" si="3"/>
        <v>38.5</v>
      </c>
      <c r="M81" s="41"/>
    </row>
    <row r="82" spans="1:13">
      <c r="A82" s="22" t="s">
        <v>104</v>
      </c>
      <c r="B82" s="4">
        <v>44159</v>
      </c>
      <c r="C82" s="4">
        <v>44187</v>
      </c>
      <c r="D82" s="40"/>
      <c r="E82" s="5">
        <v>13.93</v>
      </c>
      <c r="F82" s="5">
        <f>36/30*28</f>
        <v>33.6</v>
      </c>
      <c r="G82" s="5"/>
      <c r="H82" s="5"/>
      <c r="I82" s="6">
        <v>110</v>
      </c>
      <c r="J82" s="6">
        <f>25+11</f>
        <v>36</v>
      </c>
      <c r="K82" s="6">
        <f>(I82-J82)*0.7</f>
        <v>51.8</v>
      </c>
    </row>
    <row r="83" spans="1:13">
      <c r="A83" s="19"/>
      <c r="B83" s="15"/>
      <c r="C83" s="15"/>
      <c r="E83" s="34"/>
      <c r="J83" s="8" t="s">
        <v>4</v>
      </c>
      <c r="K83" s="8">
        <f>SUM(K2:K82)</f>
        <v>2535.9500000000003</v>
      </c>
    </row>
    <row r="84" spans="1:13">
      <c r="A84" s="28"/>
      <c r="C84" s="15"/>
      <c r="D84" s="1"/>
      <c r="E84" s="1"/>
      <c r="F84" s="1"/>
      <c r="G84" s="1"/>
      <c r="H84" s="1"/>
      <c r="I84" s="1"/>
      <c r="J84" s="29"/>
      <c r="K84" s="29"/>
    </row>
    <row r="86" spans="1:13">
      <c r="E86" s="30"/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dimension ref="A1:M90"/>
  <sheetViews>
    <sheetView topLeftCell="A73" workbookViewId="0">
      <selection activeCell="E86" sqref="E86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105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3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3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3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3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3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3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3">
      <c r="A71" s="22" t="s">
        <v>90</v>
      </c>
      <c r="B71" s="35" t="s">
        <v>96</v>
      </c>
      <c r="C71" s="35">
        <v>40362</v>
      </c>
      <c r="D71" s="5" t="s">
        <v>106</v>
      </c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12.5+(62.5-J71)*0.7</f>
        <v>31.049999999999997</v>
      </c>
      <c r="M71" s="41"/>
    </row>
    <row r="72" spans="1:13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3">
      <c r="A73" s="22" t="s">
        <v>93</v>
      </c>
      <c r="B73" s="35">
        <v>44043</v>
      </c>
      <c r="C73" s="35">
        <v>44043</v>
      </c>
      <c r="D73" s="5" t="s">
        <v>106</v>
      </c>
      <c r="E73" s="5">
        <v>27.02</v>
      </c>
      <c r="F73" s="5">
        <v>0</v>
      </c>
      <c r="G73" s="5"/>
      <c r="H73" s="5"/>
      <c r="I73" s="6">
        <v>160</v>
      </c>
      <c r="J73" s="6">
        <f>45+22</f>
        <v>67</v>
      </c>
      <c r="K73" s="6">
        <f>15+78*0.7</f>
        <v>69.599999999999994</v>
      </c>
      <c r="M73" s="41"/>
    </row>
    <row r="74" spans="1:13">
      <c r="A74" s="22" t="s">
        <v>91</v>
      </c>
      <c r="B74" s="35">
        <v>44011</v>
      </c>
      <c r="C74" s="35">
        <v>44084</v>
      </c>
      <c r="D74" s="5"/>
      <c r="E74" s="5">
        <v>11.29</v>
      </c>
      <c r="F74" s="5">
        <f>25/30*71</f>
        <v>59.166666666666671</v>
      </c>
      <c r="G74" s="5"/>
      <c r="H74" s="5"/>
      <c r="I74" s="6">
        <v>40</v>
      </c>
      <c r="J74" s="6">
        <v>25</v>
      </c>
      <c r="K74" s="6">
        <f t="shared" ref="K74:K81" si="3">(I74-J74)*0.7</f>
        <v>10.5</v>
      </c>
    </row>
    <row r="75" spans="1:13">
      <c r="A75" s="22" t="s">
        <v>98</v>
      </c>
      <c r="B75" s="35">
        <v>44048</v>
      </c>
      <c r="C75" s="35">
        <v>44081</v>
      </c>
      <c r="D75" s="5" t="s">
        <v>106</v>
      </c>
      <c r="E75" s="5">
        <v>27.88</v>
      </c>
      <c r="F75" s="5">
        <f>58/30*32</f>
        <v>61.866666666666667</v>
      </c>
      <c r="G75" s="5"/>
      <c r="H75" s="5"/>
      <c r="I75" s="6">
        <v>140</v>
      </c>
      <c r="J75" s="6">
        <f>25+33</f>
        <v>58</v>
      </c>
      <c r="K75" s="6">
        <f>17.5+64.5*0.7</f>
        <v>62.65</v>
      </c>
      <c r="M75" s="41"/>
    </row>
    <row r="76" spans="1:13">
      <c r="A76" s="22" t="s">
        <v>92</v>
      </c>
      <c r="B76" s="35">
        <v>44012</v>
      </c>
      <c r="C76" s="35">
        <v>44096</v>
      </c>
      <c r="D76" s="5"/>
      <c r="E76" s="5">
        <v>11.4</v>
      </c>
      <c r="F76" s="5">
        <f>25/30*82</f>
        <v>68.333333333333343</v>
      </c>
      <c r="G76" s="5"/>
      <c r="H76" s="5"/>
      <c r="I76" s="6">
        <v>70</v>
      </c>
      <c r="J76" s="6">
        <v>25</v>
      </c>
      <c r="K76" s="6">
        <f t="shared" si="3"/>
        <v>31.499999999999996</v>
      </c>
    </row>
    <row r="77" spans="1:13">
      <c r="A77" s="2" t="s">
        <v>99</v>
      </c>
      <c r="B77" s="35">
        <v>44084</v>
      </c>
      <c r="C77" s="35">
        <v>44105</v>
      </c>
      <c r="D77" s="5"/>
      <c r="E77" s="5">
        <v>12.24</v>
      </c>
      <c r="F77" s="5">
        <f>25/30*20</f>
        <v>16.666666666666668</v>
      </c>
      <c r="G77" s="5"/>
      <c r="H77" s="5"/>
      <c r="I77" s="6">
        <v>90</v>
      </c>
      <c r="J77" s="6">
        <v>25</v>
      </c>
      <c r="K77" s="6">
        <f>10+(55)*0.7</f>
        <v>48.5</v>
      </c>
      <c r="M77" s="41"/>
    </row>
    <row r="78" spans="1:13">
      <c r="A78" s="2" t="s">
        <v>94</v>
      </c>
      <c r="B78" s="35">
        <v>44124</v>
      </c>
      <c r="C78" s="35">
        <v>44124</v>
      </c>
      <c r="D78" s="5"/>
      <c r="E78" s="5">
        <v>7.25</v>
      </c>
      <c r="F78" s="5">
        <v>0</v>
      </c>
      <c r="G78" s="5"/>
      <c r="H78" s="5"/>
      <c r="I78" s="6">
        <v>25</v>
      </c>
      <c r="J78" s="6">
        <v>11</v>
      </c>
      <c r="K78" s="6">
        <f t="shared" si="3"/>
        <v>9.7999999999999989</v>
      </c>
    </row>
    <row r="79" spans="1:13">
      <c r="A79" s="2" t="s">
        <v>100</v>
      </c>
      <c r="B79" s="4">
        <v>44018</v>
      </c>
      <c r="C79" s="4">
        <v>44124</v>
      </c>
      <c r="D79" s="40"/>
      <c r="E79" s="5">
        <v>9.5</v>
      </c>
      <c r="F79" s="5">
        <f>25/30*104</f>
        <v>86.666666666666671</v>
      </c>
      <c r="G79" s="5"/>
      <c r="H79" s="5"/>
      <c r="I79" s="6">
        <v>70</v>
      </c>
      <c r="J79" s="6">
        <v>25</v>
      </c>
      <c r="K79" s="6">
        <f t="shared" si="3"/>
        <v>31.499999999999996</v>
      </c>
    </row>
    <row r="80" spans="1:13">
      <c r="A80" s="2" t="s">
        <v>101</v>
      </c>
      <c r="B80" s="4">
        <v>44070</v>
      </c>
      <c r="C80" s="4">
        <v>44131</v>
      </c>
      <c r="D80" s="40"/>
      <c r="E80" s="5">
        <v>13.93</v>
      </c>
      <c r="F80" s="5">
        <f>71/30*60</f>
        <v>142</v>
      </c>
      <c r="G80" s="5"/>
      <c r="H80" s="5"/>
      <c r="I80" s="6">
        <v>120</v>
      </c>
      <c r="J80" s="6">
        <f>60+11</f>
        <v>71</v>
      </c>
      <c r="K80" s="6">
        <f t="shared" si="3"/>
        <v>34.299999999999997</v>
      </c>
    </row>
    <row r="81" spans="1:13">
      <c r="A81" s="2" t="s">
        <v>102</v>
      </c>
      <c r="B81" s="4" t="s">
        <v>103</v>
      </c>
      <c r="C81" s="4">
        <v>44110</v>
      </c>
      <c r="D81" s="40"/>
      <c r="E81" s="5">
        <v>36.65</v>
      </c>
      <c r="F81" s="5">
        <f>115/30*26</f>
        <v>99.666666666666671</v>
      </c>
      <c r="G81" s="5"/>
      <c r="H81" s="5"/>
      <c r="I81" s="6">
        <v>170</v>
      </c>
      <c r="J81" s="6">
        <v>115</v>
      </c>
      <c r="K81" s="6">
        <f t="shared" si="3"/>
        <v>38.5</v>
      </c>
      <c r="M81" s="41"/>
    </row>
    <row r="82" spans="1:13">
      <c r="A82" s="22" t="s">
        <v>104</v>
      </c>
      <c r="B82" s="4">
        <v>44159</v>
      </c>
      <c r="C82" s="4">
        <v>44187</v>
      </c>
      <c r="D82" s="40"/>
      <c r="E82" s="5">
        <v>13.93</v>
      </c>
      <c r="F82" s="5">
        <f>36/30*28</f>
        <v>33.6</v>
      </c>
      <c r="G82" s="5"/>
      <c r="H82" s="5"/>
      <c r="I82" s="6">
        <v>110</v>
      </c>
      <c r="J82" s="6">
        <f>25+11</f>
        <v>36</v>
      </c>
      <c r="K82" s="6">
        <f>(I82-J82)*0.7</f>
        <v>51.8</v>
      </c>
    </row>
    <row r="83" spans="1:13">
      <c r="A83" s="10" t="s">
        <v>108</v>
      </c>
      <c r="B83" s="4">
        <v>44185</v>
      </c>
      <c r="C83" s="4">
        <v>44242</v>
      </c>
      <c r="D83" s="40" t="s">
        <v>106</v>
      </c>
      <c r="E83" s="5">
        <v>26.48</v>
      </c>
      <c r="F83" s="5">
        <f>50/30*55</f>
        <v>91.666666666666671</v>
      </c>
      <c r="G83" s="5">
        <v>160</v>
      </c>
      <c r="H83" s="5"/>
      <c r="I83" s="6">
        <v>170</v>
      </c>
      <c r="J83" s="6">
        <v>50</v>
      </c>
      <c r="K83" s="6">
        <f>(15+105*0.7)/30*15</f>
        <v>44.25</v>
      </c>
    </row>
    <row r="84" spans="1:13">
      <c r="A84" s="10" t="s">
        <v>109</v>
      </c>
      <c r="B84" s="4">
        <v>44209</v>
      </c>
      <c r="C84" s="4">
        <v>44250</v>
      </c>
      <c r="D84" s="40" t="s">
        <v>106</v>
      </c>
      <c r="E84" s="5">
        <v>22.83</v>
      </c>
      <c r="F84" s="5">
        <f>100/30*40</f>
        <v>133.33333333333334</v>
      </c>
      <c r="G84" s="5">
        <v>125</v>
      </c>
      <c r="H84" s="5"/>
      <c r="I84" s="6">
        <v>210</v>
      </c>
      <c r="J84" s="6">
        <v>100</v>
      </c>
      <c r="K84" s="6">
        <f>(22.5+87.5*0.7)/30*7</f>
        <v>19.541666666666664</v>
      </c>
    </row>
    <row r="85" spans="1:13">
      <c r="A85" s="22" t="s">
        <v>120</v>
      </c>
      <c r="B85" s="4">
        <v>44169</v>
      </c>
      <c r="C85" s="4">
        <v>44208</v>
      </c>
      <c r="D85" s="40" t="s">
        <v>106</v>
      </c>
      <c r="E85" s="5">
        <v>8.75</v>
      </c>
      <c r="F85" s="5">
        <f>44/30*38</f>
        <v>55.733333333333327</v>
      </c>
      <c r="G85" s="5"/>
      <c r="H85" s="5"/>
      <c r="I85" s="6">
        <v>65</v>
      </c>
      <c r="J85" s="6">
        <v>45</v>
      </c>
      <c r="K85" s="6">
        <f>(10+10*0.7)/30*18</f>
        <v>10.199999999999999</v>
      </c>
    </row>
    <row r="86" spans="1:13">
      <c r="A86" s="19"/>
      <c r="B86" s="15"/>
      <c r="C86" s="15"/>
      <c r="E86" s="34"/>
      <c r="J86" s="8" t="s">
        <v>4</v>
      </c>
      <c r="K86" s="8">
        <f>SUM(K2:K85)</f>
        <v>2619.9416666666666</v>
      </c>
    </row>
    <row r="87" spans="1:13">
      <c r="A87" s="28"/>
      <c r="C87" s="15"/>
      <c r="D87" s="1"/>
      <c r="E87" s="1"/>
      <c r="F87" s="1"/>
      <c r="G87" s="1"/>
      <c r="H87" s="1"/>
      <c r="I87" s="1"/>
      <c r="J87" s="29"/>
      <c r="K87" s="29"/>
    </row>
    <row r="88" spans="1:13">
      <c r="F88" t="s">
        <v>107</v>
      </c>
    </row>
    <row r="89" spans="1:13">
      <c r="E89" s="30"/>
      <c r="F89" t="s">
        <v>110</v>
      </c>
    </row>
    <row r="90" spans="1:13">
      <c r="F90" t="s">
        <v>111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1:M89"/>
  <sheetViews>
    <sheetView topLeftCell="A79" workbookViewId="0">
      <selection activeCell="K87" sqref="K87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105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3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3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3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3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3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3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3">
      <c r="A71" s="22" t="s">
        <v>90</v>
      </c>
      <c r="B71" s="35" t="s">
        <v>96</v>
      </c>
      <c r="C71" s="35">
        <v>40362</v>
      </c>
      <c r="D71" s="5" t="s">
        <v>106</v>
      </c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12.5+(62.5-J71)*0.7</f>
        <v>31.049999999999997</v>
      </c>
      <c r="M71" s="41"/>
    </row>
    <row r="72" spans="1:13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3">
      <c r="A73" s="22" t="s">
        <v>93</v>
      </c>
      <c r="B73" s="35">
        <v>44043</v>
      </c>
      <c r="C73" s="35">
        <v>44043</v>
      </c>
      <c r="D73" s="5" t="s">
        <v>106</v>
      </c>
      <c r="E73" s="5">
        <v>27.02</v>
      </c>
      <c r="F73" s="5">
        <v>0</v>
      </c>
      <c r="G73" s="5"/>
      <c r="H73" s="5"/>
      <c r="I73" s="6">
        <v>160</v>
      </c>
      <c r="J73" s="6">
        <f>45+22</f>
        <v>67</v>
      </c>
      <c r="K73" s="6">
        <f>15+78*0.7</f>
        <v>69.599999999999994</v>
      </c>
      <c r="M73" s="41"/>
    </row>
    <row r="74" spans="1:13">
      <c r="A74" s="22" t="s">
        <v>91</v>
      </c>
      <c r="B74" s="35">
        <v>44011</v>
      </c>
      <c r="C74" s="35">
        <v>44084</v>
      </c>
      <c r="D74" s="5"/>
      <c r="E74" s="5">
        <v>11.29</v>
      </c>
      <c r="F74" s="5">
        <f>25/30*71</f>
        <v>59.166666666666671</v>
      </c>
      <c r="G74" s="5"/>
      <c r="H74" s="5"/>
      <c r="I74" s="6">
        <v>40</v>
      </c>
      <c r="J74" s="6">
        <v>25</v>
      </c>
      <c r="K74" s="6">
        <f t="shared" ref="K74:K81" si="3">(I74-J74)*0.7</f>
        <v>10.5</v>
      </c>
    </row>
    <row r="75" spans="1:13">
      <c r="A75" s="22" t="s">
        <v>98</v>
      </c>
      <c r="B75" s="35">
        <v>44048</v>
      </c>
      <c r="C75" s="35">
        <v>44081</v>
      </c>
      <c r="D75" s="5" t="s">
        <v>106</v>
      </c>
      <c r="E75" s="5">
        <v>27.88</v>
      </c>
      <c r="F75" s="5">
        <f>58/30*32</f>
        <v>61.866666666666667</v>
      </c>
      <c r="G75" s="5"/>
      <c r="H75" s="5"/>
      <c r="I75" s="6">
        <v>140</v>
      </c>
      <c r="J75" s="6">
        <f>25+33</f>
        <v>58</v>
      </c>
      <c r="K75" s="6">
        <f>17.5+64.5*0.7</f>
        <v>62.65</v>
      </c>
      <c r="M75" s="41"/>
    </row>
    <row r="76" spans="1:13">
      <c r="A76" s="22" t="s">
        <v>92</v>
      </c>
      <c r="B76" s="35">
        <v>44012</v>
      </c>
      <c r="C76" s="35">
        <v>44096</v>
      </c>
      <c r="D76" s="5"/>
      <c r="E76" s="5">
        <v>11.4</v>
      </c>
      <c r="F76" s="5">
        <f>25/30*82</f>
        <v>68.333333333333343</v>
      </c>
      <c r="G76" s="5"/>
      <c r="H76" s="5"/>
      <c r="I76" s="6">
        <v>70</v>
      </c>
      <c r="J76" s="6">
        <v>25</v>
      </c>
      <c r="K76" s="6">
        <f t="shared" si="3"/>
        <v>31.499999999999996</v>
      </c>
    </row>
    <row r="77" spans="1:13">
      <c r="A77" s="2" t="s">
        <v>99</v>
      </c>
      <c r="B77" s="35">
        <v>44084</v>
      </c>
      <c r="C77" s="35">
        <v>44105</v>
      </c>
      <c r="D77" s="5"/>
      <c r="E77" s="5">
        <v>12.24</v>
      </c>
      <c r="F77" s="5">
        <f>25/30*20</f>
        <v>16.666666666666668</v>
      </c>
      <c r="G77" s="5"/>
      <c r="H77" s="5"/>
      <c r="I77" s="6">
        <v>90</v>
      </c>
      <c r="J77" s="6">
        <v>25</v>
      </c>
      <c r="K77" s="6">
        <f>10+(55)*0.7</f>
        <v>48.5</v>
      </c>
      <c r="M77" s="41"/>
    </row>
    <row r="78" spans="1:13">
      <c r="A78" s="2" t="s">
        <v>94</v>
      </c>
      <c r="B78" s="35">
        <v>44124</v>
      </c>
      <c r="C78" s="35">
        <v>44124</v>
      </c>
      <c r="D78" s="5"/>
      <c r="E78" s="5">
        <v>7.25</v>
      </c>
      <c r="F78" s="5">
        <v>0</v>
      </c>
      <c r="G78" s="5"/>
      <c r="H78" s="5"/>
      <c r="I78" s="6">
        <v>25</v>
      </c>
      <c r="J78" s="6">
        <v>11</v>
      </c>
      <c r="K78" s="6">
        <f t="shared" si="3"/>
        <v>9.7999999999999989</v>
      </c>
    </row>
    <row r="79" spans="1:13">
      <c r="A79" s="2" t="s">
        <v>100</v>
      </c>
      <c r="B79" s="4">
        <v>44018</v>
      </c>
      <c r="C79" s="4">
        <v>44124</v>
      </c>
      <c r="D79" s="40"/>
      <c r="E79" s="5">
        <v>9.5</v>
      </c>
      <c r="F79" s="5">
        <f>25/30*104</f>
        <v>86.666666666666671</v>
      </c>
      <c r="G79" s="5"/>
      <c r="H79" s="5"/>
      <c r="I79" s="6">
        <v>70</v>
      </c>
      <c r="J79" s="6">
        <v>25</v>
      </c>
      <c r="K79" s="6">
        <f t="shared" si="3"/>
        <v>31.499999999999996</v>
      </c>
    </row>
    <row r="80" spans="1:13">
      <c r="A80" s="2" t="s">
        <v>101</v>
      </c>
      <c r="B80" s="4">
        <v>44070</v>
      </c>
      <c r="C80" s="4">
        <v>44131</v>
      </c>
      <c r="D80" s="40"/>
      <c r="E80" s="5">
        <v>13.93</v>
      </c>
      <c r="F80" s="5">
        <f>71/30*60</f>
        <v>142</v>
      </c>
      <c r="G80" s="5"/>
      <c r="H80" s="5"/>
      <c r="I80" s="6">
        <v>120</v>
      </c>
      <c r="J80" s="6">
        <f>60+11</f>
        <v>71</v>
      </c>
      <c r="K80" s="6">
        <f t="shared" si="3"/>
        <v>34.299999999999997</v>
      </c>
    </row>
    <row r="81" spans="1:13">
      <c r="A81" s="2" t="s">
        <v>102</v>
      </c>
      <c r="B81" s="4" t="s">
        <v>103</v>
      </c>
      <c r="C81" s="4">
        <v>44110</v>
      </c>
      <c r="D81" s="40"/>
      <c r="E81" s="5">
        <v>36.65</v>
      </c>
      <c r="F81" s="5">
        <f>115/30*26</f>
        <v>99.666666666666671</v>
      </c>
      <c r="G81" s="5"/>
      <c r="H81" s="5"/>
      <c r="I81" s="6">
        <v>170</v>
      </c>
      <c r="J81" s="6">
        <v>115</v>
      </c>
      <c r="K81" s="6">
        <f t="shared" si="3"/>
        <v>38.5</v>
      </c>
      <c r="M81" s="41"/>
    </row>
    <row r="82" spans="1:13">
      <c r="A82" s="22" t="s">
        <v>104</v>
      </c>
      <c r="B82" s="4">
        <v>44159</v>
      </c>
      <c r="C82" s="4">
        <v>44187</v>
      </c>
      <c r="D82" s="40"/>
      <c r="E82" s="5">
        <v>13.93</v>
      </c>
      <c r="F82" s="5">
        <f>36/30*28</f>
        <v>33.6</v>
      </c>
      <c r="G82" s="5"/>
      <c r="H82" s="5"/>
      <c r="I82" s="6">
        <v>110</v>
      </c>
      <c r="J82" s="6">
        <f>25+11</f>
        <v>36</v>
      </c>
      <c r="K82" s="6">
        <f>(I82-J82)*0.7</f>
        <v>51.8</v>
      </c>
    </row>
    <row r="83" spans="1:13">
      <c r="A83" s="22" t="s">
        <v>108</v>
      </c>
      <c r="B83" s="4">
        <v>44185</v>
      </c>
      <c r="C83" s="4">
        <v>44242</v>
      </c>
      <c r="D83" s="40" t="s">
        <v>106</v>
      </c>
      <c r="E83" s="5">
        <v>26.48</v>
      </c>
      <c r="F83" s="5">
        <f>50/30*55</f>
        <v>91.666666666666671</v>
      </c>
      <c r="G83" s="5">
        <v>160</v>
      </c>
      <c r="H83" s="5"/>
      <c r="I83" s="6">
        <v>170</v>
      </c>
      <c r="J83" s="6">
        <v>50</v>
      </c>
      <c r="K83" s="6">
        <f>(15+105*0.7)</f>
        <v>88.5</v>
      </c>
    </row>
    <row r="84" spans="1:13">
      <c r="A84" s="22" t="s">
        <v>109</v>
      </c>
      <c r="B84" s="4">
        <v>44209</v>
      </c>
      <c r="C84" s="4">
        <v>44250</v>
      </c>
      <c r="D84" s="40" t="s">
        <v>106</v>
      </c>
      <c r="E84" s="5">
        <v>22.83</v>
      </c>
      <c r="F84" s="5">
        <f>100/30*40</f>
        <v>133.33333333333334</v>
      </c>
      <c r="G84" s="5">
        <v>125</v>
      </c>
      <c r="H84" s="5"/>
      <c r="I84" s="6">
        <v>210</v>
      </c>
      <c r="J84" s="6">
        <v>100</v>
      </c>
      <c r="K84" s="6">
        <f>(22.5+87.5*0.7)</f>
        <v>83.75</v>
      </c>
    </row>
    <row r="85" spans="1:13">
      <c r="A85" s="22" t="s">
        <v>120</v>
      </c>
      <c r="B85" s="4">
        <v>44169</v>
      </c>
      <c r="C85" s="4">
        <v>44208</v>
      </c>
      <c r="D85" s="40" t="s">
        <v>106</v>
      </c>
      <c r="E85" s="5"/>
      <c r="F85" s="5">
        <f>41/30*38</f>
        <v>51.933333333333337</v>
      </c>
      <c r="G85" s="5"/>
      <c r="H85" s="5"/>
      <c r="I85" s="6">
        <v>65</v>
      </c>
      <c r="J85" s="6">
        <v>45</v>
      </c>
      <c r="K85" s="6">
        <f>10+10*0.7</f>
        <v>17</v>
      </c>
    </row>
    <row r="86" spans="1:13">
      <c r="A86" s="19"/>
      <c r="B86" s="15"/>
      <c r="C86" s="15"/>
      <c r="E86" s="34"/>
      <c r="J86" s="8" t="s">
        <v>4</v>
      </c>
      <c r="K86" s="8">
        <f>SUM(K2:K85)</f>
        <v>2735.2000000000003</v>
      </c>
    </row>
    <row r="87" spans="1:13">
      <c r="A87" s="28"/>
      <c r="C87" s="15"/>
      <c r="D87" s="1"/>
      <c r="E87" s="1"/>
      <c r="F87" s="1"/>
      <c r="G87" s="1"/>
      <c r="H87" s="1"/>
      <c r="I87" s="1"/>
      <c r="J87" s="29"/>
      <c r="K87" s="29"/>
    </row>
    <row r="89" spans="1:13">
      <c r="E89" s="30"/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1:M94"/>
  <sheetViews>
    <sheetView topLeftCell="A79" workbookViewId="0">
      <selection activeCell="K88" sqref="K88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105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3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3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3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3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3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3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3">
      <c r="A71" s="22" t="s">
        <v>90</v>
      </c>
      <c r="B71" s="35" t="s">
        <v>96</v>
      </c>
      <c r="C71" s="35">
        <v>40362</v>
      </c>
      <c r="D71" s="5" t="s">
        <v>106</v>
      </c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12.5+(62.5-J71)*0.7</f>
        <v>31.049999999999997</v>
      </c>
      <c r="M71" s="41"/>
    </row>
    <row r="72" spans="1:13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3">
      <c r="A73" s="22" t="s">
        <v>93</v>
      </c>
      <c r="B73" s="35">
        <v>44043</v>
      </c>
      <c r="C73" s="35">
        <v>44043</v>
      </c>
      <c r="D73" s="5" t="s">
        <v>106</v>
      </c>
      <c r="E73" s="5">
        <v>27.02</v>
      </c>
      <c r="F73" s="5">
        <v>0</v>
      </c>
      <c r="G73" s="5"/>
      <c r="H73" s="5"/>
      <c r="I73" s="6">
        <v>160</v>
      </c>
      <c r="J73" s="6">
        <f>45+22</f>
        <v>67</v>
      </c>
      <c r="K73" s="6">
        <f>15+78*0.7</f>
        <v>69.599999999999994</v>
      </c>
      <c r="M73" s="41"/>
    </row>
    <row r="74" spans="1:13">
      <c r="A74" s="22" t="s">
        <v>91</v>
      </c>
      <c r="B74" s="35">
        <v>44011</v>
      </c>
      <c r="C74" s="35">
        <v>44084</v>
      </c>
      <c r="D74" s="5"/>
      <c r="E74" s="5">
        <v>11.29</v>
      </c>
      <c r="F74" s="5">
        <f>25/30*71</f>
        <v>59.166666666666671</v>
      </c>
      <c r="G74" s="5"/>
      <c r="H74" s="5"/>
      <c r="I74" s="6">
        <v>40</v>
      </c>
      <c r="J74" s="6">
        <v>25</v>
      </c>
      <c r="K74" s="6">
        <f t="shared" ref="K74:K80" si="3">(I74-J74)*0.7</f>
        <v>10.5</v>
      </c>
    </row>
    <row r="75" spans="1:13">
      <c r="A75" s="22" t="s">
        <v>98</v>
      </c>
      <c r="B75" s="35">
        <v>44048</v>
      </c>
      <c r="C75" s="35">
        <v>44081</v>
      </c>
      <c r="D75" s="5" t="s">
        <v>106</v>
      </c>
      <c r="E75" s="5">
        <v>27.88</v>
      </c>
      <c r="F75" s="5">
        <f>58/30*32</f>
        <v>61.866666666666667</v>
      </c>
      <c r="G75" s="5">
        <v>125</v>
      </c>
      <c r="H75" s="5"/>
      <c r="I75" s="6">
        <v>140</v>
      </c>
      <c r="J75" s="6">
        <f>25+33</f>
        <v>58</v>
      </c>
      <c r="K75" s="6">
        <f>17.5+64.5*0.7</f>
        <v>62.65</v>
      </c>
      <c r="M75" s="41"/>
    </row>
    <row r="76" spans="1:13">
      <c r="A76" s="22" t="s">
        <v>92</v>
      </c>
      <c r="B76" s="35">
        <v>44012</v>
      </c>
      <c r="C76" s="35">
        <v>44096</v>
      </c>
      <c r="D76" s="5"/>
      <c r="E76" s="5">
        <v>11.4</v>
      </c>
      <c r="F76" s="5">
        <f>25/30*82</f>
        <v>68.333333333333343</v>
      </c>
      <c r="G76" s="5"/>
      <c r="H76" s="5"/>
      <c r="I76" s="6">
        <v>70</v>
      </c>
      <c r="J76" s="6">
        <v>25</v>
      </c>
      <c r="K76" s="6">
        <f t="shared" si="3"/>
        <v>31.499999999999996</v>
      </c>
    </row>
    <row r="77" spans="1:13">
      <c r="A77" s="2" t="s">
        <v>99</v>
      </c>
      <c r="B77" s="35">
        <v>44084</v>
      </c>
      <c r="C77" s="35">
        <v>44105</v>
      </c>
      <c r="D77" s="5" t="s">
        <v>106</v>
      </c>
      <c r="E77" s="5">
        <v>12.24</v>
      </c>
      <c r="F77" s="5">
        <f>25/30*20</f>
        <v>16.666666666666668</v>
      </c>
      <c r="G77" s="5"/>
      <c r="H77" s="5"/>
      <c r="I77" s="6">
        <v>90</v>
      </c>
      <c r="J77" s="6">
        <v>25</v>
      </c>
      <c r="K77" s="6">
        <f>10+(55)*0.7</f>
        <v>48.5</v>
      </c>
      <c r="M77" s="41"/>
    </row>
    <row r="78" spans="1:13">
      <c r="A78" s="2" t="s">
        <v>94</v>
      </c>
      <c r="B78" s="35">
        <v>44124</v>
      </c>
      <c r="C78" s="35">
        <v>44124</v>
      </c>
      <c r="D78" s="5"/>
      <c r="E78" s="5">
        <v>7.25</v>
      </c>
      <c r="F78" s="5">
        <v>0</v>
      </c>
      <c r="G78" s="5"/>
      <c r="H78" s="5"/>
      <c r="I78" s="6">
        <v>25</v>
      </c>
      <c r="J78" s="6">
        <v>11</v>
      </c>
      <c r="K78" s="6">
        <f t="shared" si="3"/>
        <v>9.7999999999999989</v>
      </c>
    </row>
    <row r="79" spans="1:13">
      <c r="A79" s="2" t="s">
        <v>100</v>
      </c>
      <c r="B79" s="4">
        <v>44018</v>
      </c>
      <c r="C79" s="4">
        <v>44124</v>
      </c>
      <c r="D79" s="40"/>
      <c r="E79" s="5">
        <v>9.5</v>
      </c>
      <c r="F79" s="5">
        <f>25/30*104</f>
        <v>86.666666666666671</v>
      </c>
      <c r="G79" s="5"/>
      <c r="H79" s="5"/>
      <c r="I79" s="6">
        <v>70</v>
      </c>
      <c r="J79" s="6">
        <v>25</v>
      </c>
      <c r="K79" s="6">
        <f t="shared" si="3"/>
        <v>31.499999999999996</v>
      </c>
    </row>
    <row r="80" spans="1:13">
      <c r="A80" s="2" t="s">
        <v>101</v>
      </c>
      <c r="B80" s="4">
        <v>44070</v>
      </c>
      <c r="C80" s="4">
        <v>44131</v>
      </c>
      <c r="D80" s="40"/>
      <c r="E80" s="5">
        <v>13.93</v>
      </c>
      <c r="F80" s="5">
        <f>71/30*60</f>
        <v>142</v>
      </c>
      <c r="G80" s="5"/>
      <c r="H80" s="5"/>
      <c r="I80" s="6">
        <v>120</v>
      </c>
      <c r="J80" s="6">
        <f>60+11</f>
        <v>71</v>
      </c>
      <c r="K80" s="6">
        <f t="shared" si="3"/>
        <v>34.299999999999997</v>
      </c>
    </row>
    <row r="81" spans="1:13">
      <c r="A81" s="2" t="s">
        <v>102</v>
      </c>
      <c r="B81" s="4" t="s">
        <v>103</v>
      </c>
      <c r="C81" s="4">
        <v>44110</v>
      </c>
      <c r="D81" s="40" t="s">
        <v>106</v>
      </c>
      <c r="E81" s="5">
        <v>36.65</v>
      </c>
      <c r="F81" s="5">
        <f>115/30*26</f>
        <v>99.666666666666671</v>
      </c>
      <c r="G81" s="5"/>
      <c r="H81" s="5"/>
      <c r="I81" s="6">
        <v>180</v>
      </c>
      <c r="J81" s="6">
        <v>115</v>
      </c>
      <c r="K81" s="6">
        <f>10+55*0.7</f>
        <v>48.5</v>
      </c>
      <c r="M81" s="41"/>
    </row>
    <row r="82" spans="1:13">
      <c r="A82" s="22" t="s">
        <v>104</v>
      </c>
      <c r="B82" s="4">
        <v>44159</v>
      </c>
      <c r="C82" s="4">
        <v>44187</v>
      </c>
      <c r="D82" s="40"/>
      <c r="E82" s="5">
        <v>13.93</v>
      </c>
      <c r="F82" s="5">
        <f>36/30*28</f>
        <v>33.6</v>
      </c>
      <c r="G82" s="5"/>
      <c r="H82" s="5"/>
      <c r="I82" s="6">
        <v>110</v>
      </c>
      <c r="J82" s="6">
        <f>25+11</f>
        <v>36</v>
      </c>
      <c r="K82" s="6">
        <f>(I82-J82)*0.7</f>
        <v>51.8</v>
      </c>
    </row>
    <row r="83" spans="1:13">
      <c r="A83" s="22" t="s">
        <v>108</v>
      </c>
      <c r="B83" s="4">
        <v>44185</v>
      </c>
      <c r="C83" s="4">
        <v>44242</v>
      </c>
      <c r="D83" s="40" t="s">
        <v>106</v>
      </c>
      <c r="E83" s="5">
        <v>26.48</v>
      </c>
      <c r="F83" s="5">
        <f>50/30*55</f>
        <v>91.666666666666671</v>
      </c>
      <c r="G83" s="5">
        <v>160</v>
      </c>
      <c r="H83" s="5"/>
      <c r="I83" s="6">
        <v>170</v>
      </c>
      <c r="J83" s="6">
        <v>50</v>
      </c>
      <c r="K83" s="6">
        <f>(15+105*0.7)</f>
        <v>88.5</v>
      </c>
    </row>
    <row r="84" spans="1:13">
      <c r="A84" s="22" t="s">
        <v>109</v>
      </c>
      <c r="B84" s="4">
        <v>44209</v>
      </c>
      <c r="C84" s="4">
        <v>44250</v>
      </c>
      <c r="D84" s="40" t="s">
        <v>106</v>
      </c>
      <c r="E84" s="5">
        <v>22.83</v>
      </c>
      <c r="F84" s="5">
        <f>100/30*40</f>
        <v>133.33333333333334</v>
      </c>
      <c r="G84" s="5">
        <v>125</v>
      </c>
      <c r="H84" s="5"/>
      <c r="I84" s="6">
        <v>210</v>
      </c>
      <c r="J84" s="6">
        <v>100</v>
      </c>
      <c r="K84" s="6">
        <f>(22.5+87.5*0.7)</f>
        <v>83.75</v>
      </c>
    </row>
    <row r="85" spans="1:13">
      <c r="A85" s="10" t="s">
        <v>112</v>
      </c>
      <c r="B85" s="4">
        <v>44270</v>
      </c>
      <c r="C85" s="4">
        <v>44286</v>
      </c>
      <c r="D85" s="40" t="s">
        <v>106</v>
      </c>
      <c r="E85" s="5">
        <v>31.96</v>
      </c>
      <c r="F85" s="5">
        <f>55/30*16</f>
        <v>29.333333333333332</v>
      </c>
      <c r="G85" s="5">
        <v>75</v>
      </c>
      <c r="H85" s="5"/>
      <c r="I85" s="6">
        <v>100</v>
      </c>
      <c r="J85" s="6">
        <v>55</v>
      </c>
      <c r="K85" s="6">
        <f>(17.5+27.5*0.7)/30*16</f>
        <v>19.600000000000001</v>
      </c>
    </row>
    <row r="86" spans="1:13">
      <c r="A86" s="10" t="s">
        <v>113</v>
      </c>
      <c r="B86" s="4">
        <v>44245</v>
      </c>
      <c r="C86" s="4">
        <v>44271</v>
      </c>
      <c r="D86" s="40" t="s">
        <v>106</v>
      </c>
      <c r="E86" s="5">
        <v>26.76</v>
      </c>
      <c r="F86" s="5">
        <f>67/30*28</f>
        <v>62.533333333333331</v>
      </c>
      <c r="G86" s="5"/>
      <c r="H86" s="5"/>
      <c r="I86" s="6">
        <v>140</v>
      </c>
      <c r="J86" s="6">
        <v>67</v>
      </c>
      <c r="K86" s="6">
        <f>(15+0.7*58)/30*14</f>
        <v>25.946666666666662</v>
      </c>
    </row>
    <row r="87" spans="1:13">
      <c r="A87" s="10" t="s">
        <v>114</v>
      </c>
      <c r="B87" s="4">
        <v>44222</v>
      </c>
      <c r="C87" s="4">
        <v>44279</v>
      </c>
      <c r="D87" s="40" t="s">
        <v>106</v>
      </c>
      <c r="E87" s="5">
        <v>13.4</v>
      </c>
      <c r="F87" s="5">
        <f>56/30*58</f>
        <v>108.26666666666667</v>
      </c>
      <c r="G87" s="5">
        <v>100</v>
      </c>
      <c r="H87" s="5"/>
      <c r="I87" s="6">
        <v>140</v>
      </c>
      <c r="J87" s="6">
        <v>56</v>
      </c>
      <c r="K87" s="6">
        <f>(12.5+71.5*0.7)/30*6</f>
        <v>12.51</v>
      </c>
    </row>
    <row r="88" spans="1:13">
      <c r="A88" s="22" t="s">
        <v>120</v>
      </c>
      <c r="B88" s="4">
        <v>44169</v>
      </c>
      <c r="C88" s="4">
        <v>44208</v>
      </c>
      <c r="D88" s="40" t="s">
        <v>106</v>
      </c>
      <c r="E88" s="5"/>
      <c r="F88" s="5">
        <f>41/30*38</f>
        <v>51.933333333333337</v>
      </c>
      <c r="G88" s="5"/>
      <c r="H88" s="5"/>
      <c r="I88" s="6">
        <v>65</v>
      </c>
      <c r="J88" s="6">
        <v>45</v>
      </c>
      <c r="K88" s="6">
        <f>10+10*0.7</f>
        <v>17</v>
      </c>
    </row>
    <row r="89" spans="1:13">
      <c r="A89" s="19"/>
      <c r="B89" s="15"/>
      <c r="C89" s="15"/>
      <c r="E89" s="34"/>
      <c r="J89" s="8" t="s">
        <v>4</v>
      </c>
      <c r="K89" s="8">
        <f>SUM(K2:K88)</f>
        <v>2803.2566666666671</v>
      </c>
    </row>
    <row r="90" spans="1:13">
      <c r="A90" s="28"/>
      <c r="C90" s="15"/>
      <c r="D90" s="1"/>
      <c r="E90" s="1"/>
      <c r="F90" s="1"/>
      <c r="G90" s="1"/>
      <c r="H90" s="1"/>
      <c r="I90" s="1"/>
      <c r="J90" s="29"/>
      <c r="K90" s="29"/>
    </row>
    <row r="91" spans="1:13">
      <c r="F91" t="s">
        <v>117</v>
      </c>
    </row>
    <row r="92" spans="1:13">
      <c r="E92" s="30"/>
      <c r="F92" t="s">
        <v>118</v>
      </c>
    </row>
    <row r="93" spans="1:13">
      <c r="F93" s="42" t="s">
        <v>115</v>
      </c>
    </row>
    <row r="94" spans="1:13">
      <c r="F94" t="s">
        <v>116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1:M94"/>
  <sheetViews>
    <sheetView topLeftCell="A79" workbookViewId="0">
      <selection activeCell="K90" sqref="K90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105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2" t="s">
        <v>38</v>
      </c>
      <c r="B26" s="4">
        <v>43081</v>
      </c>
      <c r="C26" s="4">
        <v>43103</v>
      </c>
      <c r="D26" s="5"/>
      <c r="E26" s="5">
        <v>6.83</v>
      </c>
      <c r="F26" s="5">
        <v>12.5</v>
      </c>
      <c r="G26" s="5"/>
      <c r="H26" s="5"/>
      <c r="I26" s="6">
        <v>50</v>
      </c>
      <c r="J26" s="6">
        <v>25</v>
      </c>
      <c r="K26" s="6">
        <f t="shared" si="0"/>
        <v>17.5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3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3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3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3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3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3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3">
      <c r="A71" s="22" t="s">
        <v>90</v>
      </c>
      <c r="B71" s="35" t="s">
        <v>96</v>
      </c>
      <c r="C71" s="35">
        <v>40362</v>
      </c>
      <c r="D71" s="5" t="s">
        <v>106</v>
      </c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12.5+(62.5-J71)*0.7</f>
        <v>31.049999999999997</v>
      </c>
      <c r="M71" s="41"/>
    </row>
    <row r="72" spans="1:13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3">
      <c r="A73" s="22" t="s">
        <v>93</v>
      </c>
      <c r="B73" s="35">
        <v>44043</v>
      </c>
      <c r="C73" s="35">
        <v>44043</v>
      </c>
      <c r="D73" s="5" t="s">
        <v>106</v>
      </c>
      <c r="E73" s="5">
        <v>27.02</v>
      </c>
      <c r="F73" s="5">
        <v>0</v>
      </c>
      <c r="G73" s="5"/>
      <c r="H73" s="5"/>
      <c r="I73" s="6">
        <v>160</v>
      </c>
      <c r="J73" s="6">
        <f>45+22</f>
        <v>67</v>
      </c>
      <c r="K73" s="6">
        <f>15+78*0.7</f>
        <v>69.599999999999994</v>
      </c>
      <c r="M73" s="41"/>
    </row>
    <row r="74" spans="1:13">
      <c r="A74" s="22" t="s">
        <v>91</v>
      </c>
      <c r="B74" s="35">
        <v>44011</v>
      </c>
      <c r="C74" s="35">
        <v>44084</v>
      </c>
      <c r="D74" s="5"/>
      <c r="E74" s="5">
        <v>11.29</v>
      </c>
      <c r="F74" s="5">
        <f>25/30*71</f>
        <v>59.166666666666671</v>
      </c>
      <c r="G74" s="5"/>
      <c r="H74" s="5"/>
      <c r="I74" s="6">
        <v>40</v>
      </c>
      <c r="J74" s="6">
        <v>25</v>
      </c>
      <c r="K74" s="6">
        <f t="shared" ref="K74:K80" si="3">(I74-J74)*0.7</f>
        <v>10.5</v>
      </c>
    </row>
    <row r="75" spans="1:13">
      <c r="A75" s="22" t="s">
        <v>98</v>
      </c>
      <c r="B75" s="35">
        <v>44048</v>
      </c>
      <c r="C75" s="35">
        <v>44081</v>
      </c>
      <c r="D75" s="5" t="s">
        <v>106</v>
      </c>
      <c r="E75" s="5">
        <v>27.88</v>
      </c>
      <c r="F75" s="5">
        <f>58/30*32</f>
        <v>61.866666666666667</v>
      </c>
      <c r="G75" s="5">
        <v>125</v>
      </c>
      <c r="H75" s="5"/>
      <c r="I75" s="6">
        <v>140</v>
      </c>
      <c r="J75" s="6">
        <f>25+33</f>
        <v>58</v>
      </c>
      <c r="K75" s="6">
        <f>17.5+64.5*0.7</f>
        <v>62.65</v>
      </c>
      <c r="M75" s="41"/>
    </row>
    <row r="76" spans="1:13">
      <c r="A76" s="22" t="s">
        <v>92</v>
      </c>
      <c r="B76" s="35">
        <v>44012</v>
      </c>
      <c r="C76" s="35">
        <v>44096</v>
      </c>
      <c r="D76" s="5"/>
      <c r="E76" s="5">
        <v>11.4</v>
      </c>
      <c r="F76" s="5">
        <f>25/30*82</f>
        <v>68.333333333333343</v>
      </c>
      <c r="G76" s="5"/>
      <c r="H76" s="5"/>
      <c r="I76" s="6">
        <v>70</v>
      </c>
      <c r="J76" s="6">
        <v>25</v>
      </c>
      <c r="K76" s="6">
        <f t="shared" si="3"/>
        <v>31.499999999999996</v>
      </c>
    </row>
    <row r="77" spans="1:13">
      <c r="A77" s="2" t="s">
        <v>99</v>
      </c>
      <c r="B77" s="35">
        <v>44084</v>
      </c>
      <c r="C77" s="35">
        <v>44105</v>
      </c>
      <c r="D77" s="5" t="s">
        <v>106</v>
      </c>
      <c r="E77" s="5">
        <v>12.24</v>
      </c>
      <c r="F77" s="5">
        <f>25/30*20</f>
        <v>16.666666666666668</v>
      </c>
      <c r="G77" s="5"/>
      <c r="H77" s="5"/>
      <c r="I77" s="6">
        <v>90</v>
      </c>
      <c r="J77" s="6">
        <v>25</v>
      </c>
      <c r="K77" s="6">
        <f>10+(55)*0.7</f>
        <v>48.5</v>
      </c>
      <c r="M77" s="41"/>
    </row>
    <row r="78" spans="1:13">
      <c r="A78" s="2" t="s">
        <v>94</v>
      </c>
      <c r="B78" s="35">
        <v>44124</v>
      </c>
      <c r="C78" s="35">
        <v>44124</v>
      </c>
      <c r="D78" s="5"/>
      <c r="E78" s="5">
        <v>7.25</v>
      </c>
      <c r="F78" s="5">
        <v>0</v>
      </c>
      <c r="G78" s="5"/>
      <c r="H78" s="5"/>
      <c r="I78" s="6">
        <v>25</v>
      </c>
      <c r="J78" s="6">
        <v>11</v>
      </c>
      <c r="K78" s="6">
        <f t="shared" si="3"/>
        <v>9.7999999999999989</v>
      </c>
    </row>
    <row r="79" spans="1:13">
      <c r="A79" s="2" t="s">
        <v>100</v>
      </c>
      <c r="B79" s="4">
        <v>44018</v>
      </c>
      <c r="C79" s="4">
        <v>44124</v>
      </c>
      <c r="D79" s="40"/>
      <c r="E79" s="5">
        <v>9.5</v>
      </c>
      <c r="F79" s="5">
        <f>25/30*104</f>
        <v>86.666666666666671</v>
      </c>
      <c r="G79" s="5"/>
      <c r="H79" s="5"/>
      <c r="I79" s="6">
        <v>70</v>
      </c>
      <c r="J79" s="6">
        <v>25</v>
      </c>
      <c r="K79" s="6">
        <f t="shared" si="3"/>
        <v>31.499999999999996</v>
      </c>
    </row>
    <row r="80" spans="1:13">
      <c r="A80" s="2" t="s">
        <v>101</v>
      </c>
      <c r="B80" s="4">
        <v>44070</v>
      </c>
      <c r="C80" s="4">
        <v>44131</v>
      </c>
      <c r="D80" s="40"/>
      <c r="E80" s="5">
        <v>13.93</v>
      </c>
      <c r="F80" s="5">
        <f>71/30*60</f>
        <v>142</v>
      </c>
      <c r="G80" s="5"/>
      <c r="H80" s="5"/>
      <c r="I80" s="6">
        <v>120</v>
      </c>
      <c r="J80" s="6">
        <f>60+11</f>
        <v>71</v>
      </c>
      <c r="K80" s="6">
        <f t="shared" si="3"/>
        <v>34.299999999999997</v>
      </c>
    </row>
    <row r="81" spans="1:13">
      <c r="A81" s="2" t="s">
        <v>102</v>
      </c>
      <c r="B81" s="4" t="s">
        <v>103</v>
      </c>
      <c r="C81" s="4">
        <v>44110</v>
      </c>
      <c r="D81" s="40" t="s">
        <v>106</v>
      </c>
      <c r="E81" s="5">
        <v>36.65</v>
      </c>
      <c r="F81" s="5">
        <f>115/30*26</f>
        <v>99.666666666666671</v>
      </c>
      <c r="G81" s="5"/>
      <c r="H81" s="5"/>
      <c r="I81" s="6">
        <v>180</v>
      </c>
      <c r="J81" s="6">
        <v>115</v>
      </c>
      <c r="K81" s="6">
        <f>10+55*0.7</f>
        <v>48.5</v>
      </c>
      <c r="M81" s="41"/>
    </row>
    <row r="82" spans="1:13">
      <c r="A82" s="22" t="s">
        <v>104</v>
      </c>
      <c r="B82" s="4">
        <v>44159</v>
      </c>
      <c r="C82" s="4">
        <v>44187</v>
      </c>
      <c r="D82" s="40"/>
      <c r="E82" s="5">
        <v>13.93</v>
      </c>
      <c r="F82" s="5">
        <f>36/30*28</f>
        <v>33.6</v>
      </c>
      <c r="G82" s="5"/>
      <c r="H82" s="5"/>
      <c r="I82" s="6">
        <v>110</v>
      </c>
      <c r="J82" s="6">
        <f>25+11</f>
        <v>36</v>
      </c>
      <c r="K82" s="6">
        <f>(I82-J82)*0.7</f>
        <v>51.8</v>
      </c>
    </row>
    <row r="83" spans="1:13">
      <c r="A83" s="22" t="s">
        <v>108</v>
      </c>
      <c r="B83" s="4">
        <v>44185</v>
      </c>
      <c r="C83" s="4">
        <v>44242</v>
      </c>
      <c r="D83" s="40" t="s">
        <v>106</v>
      </c>
      <c r="E83" s="5">
        <v>26.48</v>
      </c>
      <c r="F83" s="5">
        <f>50/30*55</f>
        <v>91.666666666666671</v>
      </c>
      <c r="G83" s="5">
        <v>160</v>
      </c>
      <c r="H83" s="5"/>
      <c r="I83" s="6">
        <v>170</v>
      </c>
      <c r="J83" s="6">
        <v>50</v>
      </c>
      <c r="K83" s="6">
        <f>(15+105*0.7)</f>
        <v>88.5</v>
      </c>
    </row>
    <row r="84" spans="1:13">
      <c r="A84" s="22" t="s">
        <v>109</v>
      </c>
      <c r="B84" s="4">
        <v>44209</v>
      </c>
      <c r="C84" s="4">
        <v>44250</v>
      </c>
      <c r="D84" s="40" t="s">
        <v>106</v>
      </c>
      <c r="E84" s="5">
        <v>22.83</v>
      </c>
      <c r="F84" s="5">
        <f>100/30*40</f>
        <v>133.33333333333334</v>
      </c>
      <c r="G84" s="5">
        <v>125</v>
      </c>
      <c r="H84" s="5"/>
      <c r="I84" s="6">
        <v>210</v>
      </c>
      <c r="J84" s="6">
        <v>100</v>
      </c>
      <c r="K84" s="6">
        <f>(22.5+87.5*0.7)</f>
        <v>83.75</v>
      </c>
    </row>
    <row r="85" spans="1:13">
      <c r="A85" s="2" t="s">
        <v>112</v>
      </c>
      <c r="B85" s="4">
        <v>44270</v>
      </c>
      <c r="C85" s="4">
        <v>44286</v>
      </c>
      <c r="D85" s="40" t="s">
        <v>106</v>
      </c>
      <c r="E85" s="5">
        <v>31.96</v>
      </c>
      <c r="F85" s="5">
        <f>55/30*16</f>
        <v>29.333333333333332</v>
      </c>
      <c r="G85" s="5">
        <v>75</v>
      </c>
      <c r="H85" s="5"/>
      <c r="I85" s="6">
        <v>100</v>
      </c>
      <c r="J85" s="6">
        <v>55</v>
      </c>
      <c r="K85" s="6">
        <f>(17.5+27.5*0.7)</f>
        <v>36.75</v>
      </c>
    </row>
    <row r="86" spans="1:13">
      <c r="A86" s="2" t="s">
        <v>113</v>
      </c>
      <c r="B86" s="4">
        <v>44245</v>
      </c>
      <c r="C86" s="4">
        <v>44271</v>
      </c>
      <c r="D86" s="40" t="s">
        <v>106</v>
      </c>
      <c r="E86" s="5">
        <v>26.76</v>
      </c>
      <c r="F86" s="5">
        <f>67/30*28</f>
        <v>62.533333333333331</v>
      </c>
      <c r="G86" s="5"/>
      <c r="H86" s="5"/>
      <c r="I86" s="6">
        <v>140</v>
      </c>
      <c r="J86" s="6">
        <v>67</v>
      </c>
      <c r="K86" s="6">
        <f>(15+0.7*58)</f>
        <v>55.599999999999994</v>
      </c>
    </row>
    <row r="87" spans="1:13">
      <c r="A87" s="2" t="s">
        <v>114</v>
      </c>
      <c r="B87" s="4">
        <v>44222</v>
      </c>
      <c r="C87" s="4">
        <v>44279</v>
      </c>
      <c r="D87" s="40" t="s">
        <v>106</v>
      </c>
      <c r="E87" s="5">
        <v>13.4</v>
      </c>
      <c r="F87" s="5">
        <f>56/30*58</f>
        <v>108.26666666666667</v>
      </c>
      <c r="G87" s="5">
        <v>100</v>
      </c>
      <c r="H87" s="5"/>
      <c r="I87" s="6">
        <v>140</v>
      </c>
      <c r="J87" s="6">
        <v>56</v>
      </c>
      <c r="K87" s="6">
        <f>(12.5+71.5*0.7)/30*6</f>
        <v>12.51</v>
      </c>
    </row>
    <row r="88" spans="1:13">
      <c r="A88" s="22" t="s">
        <v>120</v>
      </c>
      <c r="B88" s="4">
        <v>44169</v>
      </c>
      <c r="C88" s="4">
        <v>44208</v>
      </c>
      <c r="D88" s="40" t="s">
        <v>106</v>
      </c>
      <c r="E88" s="5"/>
      <c r="F88" s="5">
        <f>41/30*38</f>
        <v>51.933333333333337</v>
      </c>
      <c r="G88" s="5"/>
      <c r="H88" s="5"/>
      <c r="I88" s="6">
        <v>70</v>
      </c>
      <c r="J88" s="6">
        <v>45</v>
      </c>
      <c r="K88" s="6">
        <f>10+10*0.7</f>
        <v>17</v>
      </c>
    </row>
    <row r="89" spans="1:13">
      <c r="A89" s="10" t="s">
        <v>119</v>
      </c>
      <c r="B89" s="4">
        <v>44281</v>
      </c>
      <c r="C89" s="4">
        <v>44316</v>
      </c>
      <c r="D89" s="40"/>
      <c r="E89" s="5">
        <v>14.26</v>
      </c>
      <c r="F89" s="5">
        <f>45/30*34</f>
        <v>51</v>
      </c>
      <c r="G89" s="5"/>
      <c r="H89" s="5"/>
      <c r="I89" s="6">
        <v>110</v>
      </c>
      <c r="J89" s="6">
        <v>45</v>
      </c>
      <c r="K89" s="18">
        <f>(65*0.7)</f>
        <v>45.5</v>
      </c>
    </row>
    <row r="90" spans="1:13">
      <c r="A90" s="19"/>
      <c r="B90" s="15"/>
      <c r="C90" s="15"/>
      <c r="E90" s="34"/>
      <c r="J90" s="8" t="s">
        <v>4</v>
      </c>
      <c r="K90" s="8">
        <f>SUM(K2:K89)</f>
        <v>2895.5600000000004</v>
      </c>
    </row>
    <row r="91" spans="1:13">
      <c r="A91" s="28"/>
      <c r="C91" s="15"/>
      <c r="D91" s="1"/>
      <c r="E91" s="1"/>
      <c r="F91" s="1"/>
      <c r="G91" s="1"/>
      <c r="H91" s="1"/>
      <c r="I91" s="1"/>
      <c r="J91" s="29"/>
      <c r="K91" s="29"/>
    </row>
    <row r="93" spans="1:13">
      <c r="E93" s="30"/>
      <c r="H93" t="s">
        <v>122</v>
      </c>
    </row>
    <row r="94" spans="1:13">
      <c r="F94" s="42"/>
      <c r="H94" t="s">
        <v>123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dimension ref="A1:M96"/>
  <sheetViews>
    <sheetView topLeftCell="A80" workbookViewId="0">
      <selection activeCell="E99" sqref="E99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105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10" t="s">
        <v>38</v>
      </c>
      <c r="B26" s="11">
        <v>43081</v>
      </c>
      <c r="C26" s="11">
        <v>43103</v>
      </c>
      <c r="D26" s="12"/>
      <c r="E26" s="12">
        <v>6.83</v>
      </c>
      <c r="F26" s="12">
        <v>12.5</v>
      </c>
      <c r="G26" s="12"/>
      <c r="H26" s="12"/>
      <c r="I26" s="12">
        <v>50</v>
      </c>
      <c r="J26" s="12">
        <v>25</v>
      </c>
      <c r="K26" s="12">
        <v>0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3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3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3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3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3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3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3">
      <c r="A71" s="22" t="s">
        <v>90</v>
      </c>
      <c r="B71" s="35" t="s">
        <v>96</v>
      </c>
      <c r="C71" s="35">
        <v>40362</v>
      </c>
      <c r="D71" s="5" t="s">
        <v>106</v>
      </c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12.5+(62.5-J71)*0.7</f>
        <v>31.049999999999997</v>
      </c>
      <c r="M71" s="41"/>
    </row>
    <row r="72" spans="1:13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3">
      <c r="A73" s="22" t="s">
        <v>93</v>
      </c>
      <c r="B73" s="35">
        <v>44043</v>
      </c>
      <c r="C73" s="35">
        <v>44043</v>
      </c>
      <c r="D73" s="5" t="s">
        <v>106</v>
      </c>
      <c r="E73" s="5">
        <v>27.02</v>
      </c>
      <c r="F73" s="5">
        <v>0</v>
      </c>
      <c r="G73" s="5"/>
      <c r="H73" s="5"/>
      <c r="I73" s="6">
        <v>160</v>
      </c>
      <c r="J73" s="6">
        <f>45+22</f>
        <v>67</v>
      </c>
      <c r="K73" s="6">
        <f>15+78*0.7</f>
        <v>69.599999999999994</v>
      </c>
      <c r="M73" s="41"/>
    </row>
    <row r="74" spans="1:13">
      <c r="A74" s="22" t="s">
        <v>91</v>
      </c>
      <c r="B74" s="35">
        <v>44011</v>
      </c>
      <c r="C74" s="35">
        <v>44084</v>
      </c>
      <c r="D74" s="5"/>
      <c r="E74" s="5">
        <v>11.29</v>
      </c>
      <c r="F74" s="5">
        <f>25/30*71</f>
        <v>59.166666666666671</v>
      </c>
      <c r="G74" s="5"/>
      <c r="H74" s="5"/>
      <c r="I74" s="6">
        <v>40</v>
      </c>
      <c r="J74" s="6">
        <v>25</v>
      </c>
      <c r="K74" s="6">
        <f t="shared" ref="K74:K80" si="3">(I74-J74)*0.7</f>
        <v>10.5</v>
      </c>
    </row>
    <row r="75" spans="1:13">
      <c r="A75" s="22" t="s">
        <v>98</v>
      </c>
      <c r="B75" s="35">
        <v>44048</v>
      </c>
      <c r="C75" s="35">
        <v>44081</v>
      </c>
      <c r="D75" s="5" t="s">
        <v>106</v>
      </c>
      <c r="E75" s="5">
        <v>27.88</v>
      </c>
      <c r="F75" s="5">
        <f>58/30*32</f>
        <v>61.866666666666667</v>
      </c>
      <c r="G75" s="5">
        <v>125</v>
      </c>
      <c r="H75" s="5"/>
      <c r="I75" s="6">
        <v>140</v>
      </c>
      <c r="J75" s="6">
        <f>25+33</f>
        <v>58</v>
      </c>
      <c r="K75" s="6">
        <f>17.5+64.5*0.7</f>
        <v>62.65</v>
      </c>
      <c r="M75" s="41"/>
    </row>
    <row r="76" spans="1:13">
      <c r="A76" s="22" t="s">
        <v>92</v>
      </c>
      <c r="B76" s="35">
        <v>44012</v>
      </c>
      <c r="C76" s="35">
        <v>44096</v>
      </c>
      <c r="D76" s="5"/>
      <c r="E76" s="5">
        <v>11.4</v>
      </c>
      <c r="F76" s="5">
        <f>25/30*82</f>
        <v>68.333333333333343</v>
      </c>
      <c r="G76" s="5"/>
      <c r="H76" s="5"/>
      <c r="I76" s="6">
        <v>70</v>
      </c>
      <c r="J76" s="6">
        <v>25</v>
      </c>
      <c r="K76" s="6">
        <f t="shared" si="3"/>
        <v>31.499999999999996</v>
      </c>
    </row>
    <row r="77" spans="1:13">
      <c r="A77" s="2" t="s">
        <v>99</v>
      </c>
      <c r="B77" s="35">
        <v>44084</v>
      </c>
      <c r="C77" s="35">
        <v>44105</v>
      </c>
      <c r="D77" s="5" t="s">
        <v>106</v>
      </c>
      <c r="E77" s="5">
        <v>12.24</v>
      </c>
      <c r="F77" s="5">
        <f>25/30*20</f>
        <v>16.666666666666668</v>
      </c>
      <c r="G77" s="5"/>
      <c r="H77" s="5"/>
      <c r="I77" s="6">
        <v>90</v>
      </c>
      <c r="J77" s="6">
        <v>25</v>
      </c>
      <c r="K77" s="6">
        <f>10+(55)*0.7</f>
        <v>48.5</v>
      </c>
      <c r="M77" s="41"/>
    </row>
    <row r="78" spans="1:13">
      <c r="A78" s="2" t="s">
        <v>94</v>
      </c>
      <c r="B78" s="35">
        <v>44124</v>
      </c>
      <c r="C78" s="35">
        <v>44124</v>
      </c>
      <c r="D78" s="5"/>
      <c r="E78" s="5">
        <v>7.25</v>
      </c>
      <c r="F78" s="5">
        <v>0</v>
      </c>
      <c r="G78" s="5"/>
      <c r="H78" s="5"/>
      <c r="I78" s="6">
        <v>25</v>
      </c>
      <c r="J78" s="6">
        <v>11</v>
      </c>
      <c r="K78" s="6">
        <f t="shared" si="3"/>
        <v>9.7999999999999989</v>
      </c>
    </row>
    <row r="79" spans="1:13">
      <c r="A79" s="2" t="s">
        <v>100</v>
      </c>
      <c r="B79" s="4">
        <v>44018</v>
      </c>
      <c r="C79" s="4">
        <v>44124</v>
      </c>
      <c r="D79" s="40"/>
      <c r="E79" s="5">
        <v>9.5</v>
      </c>
      <c r="F79" s="5">
        <f>25/30*104</f>
        <v>86.666666666666671</v>
      </c>
      <c r="G79" s="5"/>
      <c r="H79" s="5"/>
      <c r="I79" s="6">
        <v>70</v>
      </c>
      <c r="J79" s="6">
        <v>25</v>
      </c>
      <c r="K79" s="6">
        <f t="shared" si="3"/>
        <v>31.499999999999996</v>
      </c>
    </row>
    <row r="80" spans="1:13">
      <c r="A80" s="2" t="s">
        <v>101</v>
      </c>
      <c r="B80" s="4">
        <v>44070</v>
      </c>
      <c r="C80" s="4">
        <v>44131</v>
      </c>
      <c r="D80" s="40"/>
      <c r="E80" s="5">
        <v>13.93</v>
      </c>
      <c r="F80" s="5">
        <f>71/30*60</f>
        <v>142</v>
      </c>
      <c r="G80" s="5"/>
      <c r="H80" s="5"/>
      <c r="I80" s="6">
        <v>120</v>
      </c>
      <c r="J80" s="6">
        <f>60+11</f>
        <v>71</v>
      </c>
      <c r="K80" s="6">
        <f t="shared" si="3"/>
        <v>34.299999999999997</v>
      </c>
    </row>
    <row r="81" spans="1:13">
      <c r="A81" s="2" t="s">
        <v>102</v>
      </c>
      <c r="B81" s="4" t="s">
        <v>103</v>
      </c>
      <c r="C81" s="4">
        <v>44110</v>
      </c>
      <c r="D81" s="40" t="s">
        <v>106</v>
      </c>
      <c r="E81" s="5">
        <v>36.65</v>
      </c>
      <c r="F81" s="5">
        <f>115/30*26</f>
        <v>99.666666666666671</v>
      </c>
      <c r="G81" s="5"/>
      <c r="H81" s="5"/>
      <c r="I81" s="6">
        <v>180</v>
      </c>
      <c r="J81" s="6">
        <v>115</v>
      </c>
      <c r="K81" s="6">
        <f>10+55*0.7</f>
        <v>48.5</v>
      </c>
      <c r="M81" s="41"/>
    </row>
    <row r="82" spans="1:13">
      <c r="A82" s="22" t="s">
        <v>104</v>
      </c>
      <c r="B82" s="4">
        <v>44159</v>
      </c>
      <c r="C82" s="4">
        <v>44187</v>
      </c>
      <c r="D82" s="40"/>
      <c r="E82" s="5">
        <v>13.93</v>
      </c>
      <c r="F82" s="5">
        <f>36/30*28</f>
        <v>33.6</v>
      </c>
      <c r="G82" s="5"/>
      <c r="H82" s="5"/>
      <c r="I82" s="6">
        <v>110</v>
      </c>
      <c r="J82" s="6">
        <f>25+11</f>
        <v>36</v>
      </c>
      <c r="K82" s="6">
        <f>(I82-J82)*0.7</f>
        <v>51.8</v>
      </c>
    </row>
    <row r="83" spans="1:13">
      <c r="A83" s="22" t="s">
        <v>108</v>
      </c>
      <c r="B83" s="4">
        <v>44185</v>
      </c>
      <c r="C83" s="4">
        <v>44242</v>
      </c>
      <c r="D83" s="40" t="s">
        <v>106</v>
      </c>
      <c r="E83" s="5">
        <v>26.48</v>
      </c>
      <c r="F83" s="5">
        <f>50/30*55</f>
        <v>91.666666666666671</v>
      </c>
      <c r="G83" s="5">
        <v>160</v>
      </c>
      <c r="H83" s="5"/>
      <c r="I83" s="6">
        <v>170</v>
      </c>
      <c r="J83" s="6">
        <v>50</v>
      </c>
      <c r="K83" s="6">
        <f>(15+105*0.7)</f>
        <v>88.5</v>
      </c>
    </row>
    <row r="84" spans="1:13">
      <c r="A84" s="22" t="s">
        <v>109</v>
      </c>
      <c r="B84" s="4">
        <v>44209</v>
      </c>
      <c r="C84" s="4">
        <v>44250</v>
      </c>
      <c r="D84" s="40" t="s">
        <v>106</v>
      </c>
      <c r="E84" s="5">
        <v>22.83</v>
      </c>
      <c r="F84" s="5">
        <f>100/30*40</f>
        <v>133.33333333333334</v>
      </c>
      <c r="G84" s="5">
        <v>125</v>
      </c>
      <c r="H84" s="5"/>
      <c r="I84" s="6">
        <v>210</v>
      </c>
      <c r="J84" s="6">
        <v>100</v>
      </c>
      <c r="K84" s="6">
        <f>(22.5+87.5*0.7)</f>
        <v>83.75</v>
      </c>
    </row>
    <row r="85" spans="1:13">
      <c r="A85" s="2" t="s">
        <v>112</v>
      </c>
      <c r="B85" s="4">
        <v>44270</v>
      </c>
      <c r="C85" s="4">
        <v>44286</v>
      </c>
      <c r="D85" s="40" t="s">
        <v>106</v>
      </c>
      <c r="E85" s="5">
        <v>31.96</v>
      </c>
      <c r="F85" s="5">
        <f>55/30*16</f>
        <v>29.333333333333332</v>
      </c>
      <c r="G85" s="5">
        <v>75</v>
      </c>
      <c r="H85" s="5"/>
      <c r="I85" s="6">
        <v>100</v>
      </c>
      <c r="J85" s="6">
        <v>55</v>
      </c>
      <c r="K85" s="6">
        <f>(17.5+27.5*0.7)</f>
        <v>36.75</v>
      </c>
    </row>
    <row r="86" spans="1:13">
      <c r="A86" s="2" t="s">
        <v>113</v>
      </c>
      <c r="B86" s="4">
        <v>44245</v>
      </c>
      <c r="C86" s="4">
        <v>44271</v>
      </c>
      <c r="D86" s="40" t="s">
        <v>106</v>
      </c>
      <c r="E86" s="5">
        <v>26.76</v>
      </c>
      <c r="F86" s="5">
        <f>67/30*28</f>
        <v>62.533333333333331</v>
      </c>
      <c r="G86" s="5"/>
      <c r="H86" s="5"/>
      <c r="I86" s="6">
        <v>140</v>
      </c>
      <c r="J86" s="6">
        <v>67</v>
      </c>
      <c r="K86" s="6">
        <f>(15+0.7*58)</f>
        <v>55.599999999999994</v>
      </c>
    </row>
    <row r="87" spans="1:13">
      <c r="A87" s="2" t="s">
        <v>114</v>
      </c>
      <c r="B87" s="4">
        <v>44222</v>
      </c>
      <c r="C87" s="4">
        <v>44279</v>
      </c>
      <c r="D87" s="40" t="s">
        <v>106</v>
      </c>
      <c r="E87" s="5">
        <v>13.4</v>
      </c>
      <c r="F87" s="5">
        <f>56/30*58</f>
        <v>108.26666666666667</v>
      </c>
      <c r="G87" s="5">
        <v>100</v>
      </c>
      <c r="H87" s="5"/>
      <c r="I87" s="6">
        <v>140</v>
      </c>
      <c r="J87" s="6">
        <v>56</v>
      </c>
      <c r="K87" s="6">
        <f>(12.5+71.5*0.7)/30*6</f>
        <v>12.51</v>
      </c>
    </row>
    <row r="88" spans="1:13">
      <c r="A88" s="22" t="s">
        <v>120</v>
      </c>
      <c r="B88" s="4">
        <v>44169</v>
      </c>
      <c r="C88" s="4">
        <v>44208</v>
      </c>
      <c r="D88" s="40" t="s">
        <v>106</v>
      </c>
      <c r="E88" s="5"/>
      <c r="F88" s="5">
        <f>41/30*38</f>
        <v>51.933333333333337</v>
      </c>
      <c r="G88" s="5"/>
      <c r="H88" s="5"/>
      <c r="I88" s="6">
        <v>70</v>
      </c>
      <c r="J88" s="6">
        <v>45</v>
      </c>
      <c r="K88" s="6">
        <f>10+10*0.7</f>
        <v>17</v>
      </c>
    </row>
    <row r="89" spans="1:13">
      <c r="A89" s="2" t="s">
        <v>119</v>
      </c>
      <c r="B89" s="4">
        <v>44281</v>
      </c>
      <c r="C89" s="4">
        <v>44316</v>
      </c>
      <c r="D89" s="40"/>
      <c r="E89" s="5">
        <v>14.26</v>
      </c>
      <c r="F89" s="5">
        <f>45/30*34</f>
        <v>51</v>
      </c>
      <c r="G89" s="5"/>
      <c r="H89" s="5"/>
      <c r="I89" s="6">
        <v>110</v>
      </c>
      <c r="J89" s="6">
        <v>45</v>
      </c>
      <c r="K89" s="6">
        <f>(65*0.7)</f>
        <v>45.5</v>
      </c>
    </row>
    <row r="90" spans="1:13">
      <c r="A90" s="10" t="s">
        <v>121</v>
      </c>
      <c r="B90" s="4">
        <v>44316</v>
      </c>
      <c r="C90" s="4">
        <v>44354</v>
      </c>
      <c r="D90" s="40"/>
      <c r="E90" s="5">
        <v>15.15</v>
      </c>
      <c r="F90" s="5">
        <f>36/30*37</f>
        <v>44.4</v>
      </c>
      <c r="G90" s="5"/>
      <c r="H90" s="5"/>
      <c r="I90" s="6">
        <v>110</v>
      </c>
      <c r="J90" s="6">
        <v>36</v>
      </c>
      <c r="K90" s="6">
        <f>(I90-J90)/30*24</f>
        <v>59.2</v>
      </c>
    </row>
    <row r="91" spans="1:13">
      <c r="A91" s="10" t="s">
        <v>126</v>
      </c>
      <c r="B91" s="4">
        <v>44336</v>
      </c>
      <c r="C91" s="4">
        <v>44370</v>
      </c>
      <c r="D91" s="40" t="s">
        <v>106</v>
      </c>
      <c r="E91" s="5">
        <v>35.78</v>
      </c>
      <c r="F91" s="5">
        <f>58/30*33</f>
        <v>63.8</v>
      </c>
      <c r="G91" s="5">
        <v>50</v>
      </c>
      <c r="H91" s="5"/>
      <c r="I91" s="6">
        <v>150</v>
      </c>
      <c r="J91" s="6">
        <v>58</v>
      </c>
      <c r="K91" s="6">
        <f>(17.5+74.5*0.7)/30*7</f>
        <v>16.251666666666669</v>
      </c>
      <c r="L91" t="s">
        <v>127</v>
      </c>
    </row>
    <row r="92" spans="1:13">
      <c r="A92" s="19"/>
      <c r="B92" s="15"/>
      <c r="C92" s="15"/>
      <c r="E92" s="34"/>
      <c r="J92" s="8" t="s">
        <v>4</v>
      </c>
      <c r="K92" s="8">
        <f>SUM(K2:K91)</f>
        <v>2953.5116666666668</v>
      </c>
    </row>
    <row r="93" spans="1:13">
      <c r="A93" s="28"/>
      <c r="C93" s="15"/>
      <c r="D93" s="1"/>
      <c r="E93" s="1"/>
      <c r="F93" s="1"/>
      <c r="G93" s="1"/>
      <c r="H93" s="1"/>
      <c r="I93" s="1"/>
      <c r="J93" s="29"/>
      <c r="K93" s="29"/>
    </row>
    <row r="95" spans="1:13">
      <c r="E95" s="30"/>
    </row>
    <row r="96" spans="1:13">
      <c r="F96" s="42"/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dimension ref="A1:M99"/>
  <sheetViews>
    <sheetView topLeftCell="A83" workbookViewId="0">
      <selection activeCell="K96" sqref="K96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105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10" t="s">
        <v>38</v>
      </c>
      <c r="B26" s="11">
        <v>43081</v>
      </c>
      <c r="C26" s="11">
        <v>43103</v>
      </c>
      <c r="D26" s="12"/>
      <c r="E26" s="12">
        <v>6.83</v>
      </c>
      <c r="F26" s="12">
        <v>12.5</v>
      </c>
      <c r="G26" s="12"/>
      <c r="H26" s="12"/>
      <c r="I26" s="12">
        <v>50</v>
      </c>
      <c r="J26" s="12">
        <v>25</v>
      </c>
      <c r="K26" s="12">
        <v>0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3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3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3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3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3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3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3">
      <c r="A71" s="22" t="s">
        <v>90</v>
      </c>
      <c r="B71" s="35" t="s">
        <v>96</v>
      </c>
      <c r="C71" s="35">
        <v>40362</v>
      </c>
      <c r="D71" s="5" t="s">
        <v>106</v>
      </c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12.5+(62.5-J71)*0.7</f>
        <v>31.049999999999997</v>
      </c>
      <c r="M71" s="41"/>
    </row>
    <row r="72" spans="1:13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3">
      <c r="A73" s="22" t="s">
        <v>93</v>
      </c>
      <c r="B73" s="35">
        <v>44043</v>
      </c>
      <c r="C73" s="35">
        <v>44043</v>
      </c>
      <c r="D73" s="5" t="s">
        <v>106</v>
      </c>
      <c r="E73" s="5">
        <v>27.02</v>
      </c>
      <c r="F73" s="5">
        <v>0</v>
      </c>
      <c r="G73" s="5"/>
      <c r="H73" s="5"/>
      <c r="I73" s="6">
        <v>160</v>
      </c>
      <c r="J73" s="6">
        <f>45+22</f>
        <v>67</v>
      </c>
      <c r="K73" s="6">
        <f>15+78*0.7</f>
        <v>69.599999999999994</v>
      </c>
      <c r="M73" s="41"/>
    </row>
    <row r="74" spans="1:13">
      <c r="A74" s="22" t="s">
        <v>91</v>
      </c>
      <c r="B74" s="35">
        <v>44011</v>
      </c>
      <c r="C74" s="35">
        <v>44084</v>
      </c>
      <c r="D74" s="5"/>
      <c r="E74" s="5">
        <v>11.29</v>
      </c>
      <c r="F74" s="5">
        <f>25/30*71</f>
        <v>59.166666666666671</v>
      </c>
      <c r="G74" s="5"/>
      <c r="H74" s="5"/>
      <c r="I74" s="6">
        <v>40</v>
      </c>
      <c r="J74" s="6">
        <v>25</v>
      </c>
      <c r="K74" s="6">
        <f t="shared" ref="K74:K80" si="3">(I74-J74)*0.7</f>
        <v>10.5</v>
      </c>
    </row>
    <row r="75" spans="1:13">
      <c r="A75" s="22" t="s">
        <v>98</v>
      </c>
      <c r="B75" s="35">
        <v>44048</v>
      </c>
      <c r="C75" s="35">
        <v>44081</v>
      </c>
      <c r="D75" s="5" t="s">
        <v>106</v>
      </c>
      <c r="E75" s="5">
        <v>27.88</v>
      </c>
      <c r="F75" s="5">
        <f>58/30*32</f>
        <v>61.866666666666667</v>
      </c>
      <c r="G75" s="5">
        <v>125</v>
      </c>
      <c r="H75" s="5"/>
      <c r="I75" s="6">
        <v>140</v>
      </c>
      <c r="J75" s="6">
        <f>25+33</f>
        <v>58</v>
      </c>
      <c r="K75" s="6">
        <f>17.5+64.5*0.7</f>
        <v>62.65</v>
      </c>
      <c r="M75" s="41"/>
    </row>
    <row r="76" spans="1:13">
      <c r="A76" s="22" t="s">
        <v>92</v>
      </c>
      <c r="B76" s="35">
        <v>44012</v>
      </c>
      <c r="C76" s="35">
        <v>44096</v>
      </c>
      <c r="D76" s="5"/>
      <c r="E76" s="5">
        <v>11.4</v>
      </c>
      <c r="F76" s="5">
        <f>25/30*82</f>
        <v>68.333333333333343</v>
      </c>
      <c r="G76" s="5"/>
      <c r="H76" s="5"/>
      <c r="I76" s="6">
        <v>70</v>
      </c>
      <c r="J76" s="6">
        <v>25</v>
      </c>
      <c r="K76" s="6">
        <f t="shared" si="3"/>
        <v>31.499999999999996</v>
      </c>
    </row>
    <row r="77" spans="1:13">
      <c r="A77" s="2" t="s">
        <v>99</v>
      </c>
      <c r="B77" s="35">
        <v>44084</v>
      </c>
      <c r="C77" s="35">
        <v>44105</v>
      </c>
      <c r="D77" s="5" t="s">
        <v>106</v>
      </c>
      <c r="E77" s="5">
        <v>12.24</v>
      </c>
      <c r="F77" s="5">
        <f>25/30*20</f>
        <v>16.666666666666668</v>
      </c>
      <c r="G77" s="5"/>
      <c r="H77" s="5"/>
      <c r="I77" s="6">
        <v>90</v>
      </c>
      <c r="J77" s="6">
        <v>25</v>
      </c>
      <c r="K77" s="6">
        <f>10+(55)*0.7</f>
        <v>48.5</v>
      </c>
      <c r="M77" s="41"/>
    </row>
    <row r="78" spans="1:13">
      <c r="A78" s="2" t="s">
        <v>94</v>
      </c>
      <c r="B78" s="35">
        <v>44124</v>
      </c>
      <c r="C78" s="35">
        <v>44124</v>
      </c>
      <c r="D78" s="5"/>
      <c r="E78" s="5">
        <v>7.25</v>
      </c>
      <c r="F78" s="5">
        <v>0</v>
      </c>
      <c r="G78" s="5"/>
      <c r="H78" s="5"/>
      <c r="I78" s="6">
        <v>25</v>
      </c>
      <c r="J78" s="6">
        <v>11</v>
      </c>
      <c r="K78" s="6">
        <f t="shared" si="3"/>
        <v>9.7999999999999989</v>
      </c>
    </row>
    <row r="79" spans="1:13">
      <c r="A79" s="2" t="s">
        <v>100</v>
      </c>
      <c r="B79" s="4">
        <v>44018</v>
      </c>
      <c r="C79" s="4">
        <v>44124</v>
      </c>
      <c r="D79" s="40"/>
      <c r="E79" s="5">
        <v>9.5</v>
      </c>
      <c r="F79" s="5">
        <f>25/30*104</f>
        <v>86.666666666666671</v>
      </c>
      <c r="G79" s="5"/>
      <c r="H79" s="5"/>
      <c r="I79" s="6">
        <v>70</v>
      </c>
      <c r="J79" s="6">
        <v>25</v>
      </c>
      <c r="K79" s="6">
        <f t="shared" si="3"/>
        <v>31.499999999999996</v>
      </c>
    </row>
    <row r="80" spans="1:13">
      <c r="A80" s="2" t="s">
        <v>101</v>
      </c>
      <c r="B80" s="4">
        <v>44070</v>
      </c>
      <c r="C80" s="4">
        <v>44131</v>
      </c>
      <c r="D80" s="40"/>
      <c r="E80" s="5">
        <v>13.93</v>
      </c>
      <c r="F80" s="5">
        <f>71/30*60</f>
        <v>142</v>
      </c>
      <c r="G80" s="5"/>
      <c r="H80" s="5"/>
      <c r="I80" s="6">
        <v>120</v>
      </c>
      <c r="J80" s="6">
        <f>60+11</f>
        <v>71</v>
      </c>
      <c r="K80" s="6">
        <f t="shared" si="3"/>
        <v>34.299999999999997</v>
      </c>
    </row>
    <row r="81" spans="1:13">
      <c r="A81" s="2" t="s">
        <v>102</v>
      </c>
      <c r="B81" s="4" t="s">
        <v>103</v>
      </c>
      <c r="C81" s="4">
        <v>44110</v>
      </c>
      <c r="D81" s="40" t="s">
        <v>106</v>
      </c>
      <c r="E81" s="5">
        <v>36.65</v>
      </c>
      <c r="F81" s="5">
        <f>115/30*26</f>
        <v>99.666666666666671</v>
      </c>
      <c r="G81" s="5"/>
      <c r="H81" s="5"/>
      <c r="I81" s="6">
        <v>180</v>
      </c>
      <c r="J81" s="6">
        <v>115</v>
      </c>
      <c r="K81" s="6">
        <f>10+55*0.7</f>
        <v>48.5</v>
      </c>
      <c r="M81" s="41"/>
    </row>
    <row r="82" spans="1:13">
      <c r="A82" s="22" t="s">
        <v>104</v>
      </c>
      <c r="B82" s="4">
        <v>44159</v>
      </c>
      <c r="C82" s="4">
        <v>44187</v>
      </c>
      <c r="D82" s="40"/>
      <c r="E82" s="5">
        <v>13.93</v>
      </c>
      <c r="F82" s="5">
        <f>36/30*28</f>
        <v>33.6</v>
      </c>
      <c r="G82" s="5"/>
      <c r="H82" s="5"/>
      <c r="I82" s="6">
        <v>110</v>
      </c>
      <c r="J82" s="6">
        <f>25+11</f>
        <v>36</v>
      </c>
      <c r="K82" s="6">
        <f>(I82-J82)*0.7</f>
        <v>51.8</v>
      </c>
    </row>
    <row r="83" spans="1:13">
      <c r="A83" s="22" t="s">
        <v>108</v>
      </c>
      <c r="B83" s="4">
        <v>44185</v>
      </c>
      <c r="C83" s="4">
        <v>44242</v>
      </c>
      <c r="D83" s="40" t="s">
        <v>106</v>
      </c>
      <c r="E83" s="5">
        <v>26.48</v>
      </c>
      <c r="F83" s="5">
        <f>50/30*55</f>
        <v>91.666666666666671</v>
      </c>
      <c r="G83" s="5">
        <v>160</v>
      </c>
      <c r="H83" s="5"/>
      <c r="I83" s="6">
        <v>170</v>
      </c>
      <c r="J83" s="6">
        <v>50</v>
      </c>
      <c r="K83" s="6">
        <f>(15+105*0.7)</f>
        <v>88.5</v>
      </c>
    </row>
    <row r="84" spans="1:13">
      <c r="A84" s="22" t="s">
        <v>109</v>
      </c>
      <c r="B84" s="4">
        <v>44209</v>
      </c>
      <c r="C84" s="4">
        <v>44250</v>
      </c>
      <c r="D84" s="40" t="s">
        <v>106</v>
      </c>
      <c r="E84" s="5">
        <v>22.83</v>
      </c>
      <c r="F84" s="5">
        <f>100/30*40</f>
        <v>133.33333333333334</v>
      </c>
      <c r="G84" s="5">
        <v>125</v>
      </c>
      <c r="H84" s="5"/>
      <c r="I84" s="6">
        <v>210</v>
      </c>
      <c r="J84" s="6">
        <v>100</v>
      </c>
      <c r="K84" s="6">
        <f>(22.5+87.5*0.7)</f>
        <v>83.75</v>
      </c>
    </row>
    <row r="85" spans="1:13">
      <c r="A85" s="2" t="s">
        <v>112</v>
      </c>
      <c r="B85" s="4">
        <v>44270</v>
      </c>
      <c r="C85" s="4">
        <v>44286</v>
      </c>
      <c r="D85" s="40" t="s">
        <v>106</v>
      </c>
      <c r="E85" s="5">
        <v>31.96</v>
      </c>
      <c r="F85" s="5">
        <f>55/30*16</f>
        <v>29.333333333333332</v>
      </c>
      <c r="G85" s="5">
        <v>75</v>
      </c>
      <c r="H85" s="5"/>
      <c r="I85" s="6">
        <v>100</v>
      </c>
      <c r="J85" s="6">
        <v>55</v>
      </c>
      <c r="K85" s="6">
        <f>(17.5+27.5*0.7)</f>
        <v>36.75</v>
      </c>
    </row>
    <row r="86" spans="1:13">
      <c r="A86" s="2" t="s">
        <v>113</v>
      </c>
      <c r="B86" s="4">
        <v>44245</v>
      </c>
      <c r="C86" s="4">
        <v>44271</v>
      </c>
      <c r="D86" s="40" t="s">
        <v>106</v>
      </c>
      <c r="E86" s="5">
        <v>26.76</v>
      </c>
      <c r="F86" s="5">
        <f>67/30*28</f>
        <v>62.533333333333331</v>
      </c>
      <c r="G86" s="5"/>
      <c r="H86" s="5"/>
      <c r="I86" s="6">
        <v>140</v>
      </c>
      <c r="J86" s="6">
        <v>67</v>
      </c>
      <c r="K86" s="6">
        <f>(15+0.7*58)</f>
        <v>55.599999999999994</v>
      </c>
    </row>
    <row r="87" spans="1:13">
      <c r="A87" s="2" t="s">
        <v>114</v>
      </c>
      <c r="B87" s="4">
        <v>44222</v>
      </c>
      <c r="C87" s="4">
        <v>44279</v>
      </c>
      <c r="D87" s="40" t="s">
        <v>106</v>
      </c>
      <c r="E87" s="5">
        <v>13.4</v>
      </c>
      <c r="F87" s="5">
        <f>56/30*58</f>
        <v>108.26666666666667</v>
      </c>
      <c r="G87" s="5">
        <v>100</v>
      </c>
      <c r="H87" s="5"/>
      <c r="I87" s="6">
        <v>140</v>
      </c>
      <c r="J87" s="6">
        <v>56</v>
      </c>
      <c r="K87" s="6">
        <f>(12.5+71.5*0.7)/30*6</f>
        <v>12.51</v>
      </c>
    </row>
    <row r="88" spans="1:13">
      <c r="A88" s="22" t="s">
        <v>120</v>
      </c>
      <c r="B88" s="4">
        <v>44169</v>
      </c>
      <c r="C88" s="4">
        <v>44208</v>
      </c>
      <c r="D88" s="40" t="s">
        <v>106</v>
      </c>
      <c r="E88" s="5"/>
      <c r="F88" s="5">
        <f>41/30*38</f>
        <v>51.933333333333337</v>
      </c>
      <c r="G88" s="5"/>
      <c r="H88" s="5"/>
      <c r="I88" s="6">
        <v>70</v>
      </c>
      <c r="J88" s="6">
        <v>45</v>
      </c>
      <c r="K88" s="6">
        <f>10+10*0.7</f>
        <v>17</v>
      </c>
    </row>
    <row r="89" spans="1:13">
      <c r="A89" s="2" t="s">
        <v>119</v>
      </c>
      <c r="B89" s="4">
        <v>44281</v>
      </c>
      <c r="C89" s="4">
        <v>44316</v>
      </c>
      <c r="D89" s="40"/>
      <c r="E89" s="5">
        <v>14.26</v>
      </c>
      <c r="F89" s="5">
        <f>45/30*34</f>
        <v>51</v>
      </c>
      <c r="G89" s="5"/>
      <c r="H89" s="5"/>
      <c r="I89" s="6">
        <v>110</v>
      </c>
      <c r="J89" s="6">
        <v>45</v>
      </c>
      <c r="K89" s="6">
        <f>(65*0.7)</f>
        <v>45.5</v>
      </c>
    </row>
    <row r="90" spans="1:13">
      <c r="A90" s="22" t="s">
        <v>121</v>
      </c>
      <c r="B90" s="4">
        <v>44316</v>
      </c>
      <c r="C90" s="4">
        <v>44354</v>
      </c>
      <c r="D90" s="40"/>
      <c r="E90" s="5">
        <v>15.15</v>
      </c>
      <c r="F90" s="5">
        <f>36/30*37</f>
        <v>44.4</v>
      </c>
      <c r="G90" s="5"/>
      <c r="H90" s="5"/>
      <c r="I90" s="6">
        <v>110</v>
      </c>
      <c r="J90" s="6">
        <v>36</v>
      </c>
      <c r="K90" s="6">
        <f>(I90-J90)</f>
        <v>74</v>
      </c>
    </row>
    <row r="91" spans="1:13">
      <c r="A91" s="22" t="s">
        <v>126</v>
      </c>
      <c r="B91" s="4">
        <v>44336</v>
      </c>
      <c r="C91" s="4">
        <v>44370</v>
      </c>
      <c r="D91" s="40" t="s">
        <v>106</v>
      </c>
      <c r="E91" s="5">
        <v>35.78</v>
      </c>
      <c r="F91" s="5">
        <f>58/30*33</f>
        <v>63.8</v>
      </c>
      <c r="G91" s="5">
        <v>50</v>
      </c>
      <c r="H91" s="5"/>
      <c r="I91" s="6">
        <v>150</v>
      </c>
      <c r="J91" s="6">
        <v>58</v>
      </c>
      <c r="K91" s="6">
        <f>(17.5+74.5*0.7)</f>
        <v>69.650000000000006</v>
      </c>
      <c r="L91" t="s">
        <v>130</v>
      </c>
    </row>
    <row r="92" spans="1:13">
      <c r="A92" s="10" t="s">
        <v>125</v>
      </c>
      <c r="B92" s="4">
        <v>44342</v>
      </c>
      <c r="C92" s="4">
        <v>44386</v>
      </c>
      <c r="D92" s="40" t="s">
        <v>106</v>
      </c>
      <c r="E92" s="5">
        <v>15.46</v>
      </c>
      <c r="F92" s="5">
        <f>36/30*43</f>
        <v>51.6</v>
      </c>
      <c r="G92" s="5">
        <f>50+45</f>
        <v>95</v>
      </c>
      <c r="H92" s="5"/>
      <c r="I92" s="6">
        <v>110</v>
      </c>
      <c r="J92" s="6">
        <v>36</v>
      </c>
      <c r="K92" s="6">
        <f>(12.5+(97.5-36)*0.7)/30*21</f>
        <v>38.884999999999998</v>
      </c>
    </row>
    <row r="93" spans="1:13">
      <c r="A93" s="10" t="s">
        <v>129</v>
      </c>
      <c r="B93" s="4">
        <v>44348</v>
      </c>
      <c r="C93" s="4">
        <v>44389</v>
      </c>
      <c r="D93" s="40" t="s">
        <v>106</v>
      </c>
      <c r="E93" s="5">
        <v>26.22</v>
      </c>
      <c r="F93" s="5">
        <f>71/30*42</f>
        <v>99.4</v>
      </c>
      <c r="G93" s="5">
        <f>50+45</f>
        <v>95</v>
      </c>
      <c r="H93" s="5"/>
      <c r="I93" s="6">
        <v>140</v>
      </c>
      <c r="J93" s="6">
        <v>71</v>
      </c>
      <c r="K93" s="6">
        <f>(12.5+(127.5-71)*0.7)/30*18</f>
        <v>31.229999999999997</v>
      </c>
    </row>
    <row r="94" spans="1:13">
      <c r="A94" s="10" t="s">
        <v>124</v>
      </c>
      <c r="B94" s="4">
        <v>44348</v>
      </c>
      <c r="C94" s="4">
        <v>44389</v>
      </c>
      <c r="D94" s="40"/>
      <c r="E94" s="5">
        <v>11.62</v>
      </c>
      <c r="F94" s="5">
        <f>26/30*42</f>
        <v>36.4</v>
      </c>
      <c r="G94" s="5">
        <v>65</v>
      </c>
      <c r="H94" s="5"/>
      <c r="I94" s="6">
        <v>70</v>
      </c>
      <c r="J94" s="6">
        <v>26</v>
      </c>
      <c r="K94" s="6">
        <f>(70-26)*0.7/30*18</f>
        <v>18.48</v>
      </c>
    </row>
    <row r="95" spans="1:13">
      <c r="A95" s="19"/>
      <c r="B95" s="15"/>
      <c r="C95" s="15"/>
      <c r="E95" s="34"/>
      <c r="J95" s="8" t="s">
        <v>4</v>
      </c>
      <c r="K95" s="8">
        <f>SUM(K2:K91)</f>
        <v>3021.7100000000005</v>
      </c>
    </row>
    <row r="96" spans="1:13">
      <c r="A96" s="28"/>
      <c r="C96" s="15"/>
      <c r="D96" s="1"/>
      <c r="E96" s="1"/>
      <c r="F96" s="1"/>
      <c r="G96" s="1"/>
      <c r="H96" s="1"/>
      <c r="I96" s="1"/>
      <c r="J96" s="29"/>
      <c r="K96" s="29"/>
    </row>
    <row r="97" spans="5:8">
      <c r="H97" t="s">
        <v>128</v>
      </c>
    </row>
    <row r="98" spans="5:8">
      <c r="E98" s="30"/>
      <c r="H98" t="s">
        <v>131</v>
      </c>
    </row>
    <row r="99" spans="5:8">
      <c r="F99" s="42"/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dimension ref="A1:M99"/>
  <sheetViews>
    <sheetView topLeftCell="A88" workbookViewId="0">
      <selection activeCell="K95" sqref="K95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105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2" t="s">
        <v>13</v>
      </c>
      <c r="B5" s="4">
        <v>42102</v>
      </c>
      <c r="C5" s="4">
        <v>42136</v>
      </c>
      <c r="D5" s="5"/>
      <c r="E5" s="5"/>
      <c r="F5" s="5">
        <f>32/30*34</f>
        <v>36.266666666666666</v>
      </c>
      <c r="G5" s="5"/>
      <c r="H5" s="5"/>
      <c r="I5" s="6">
        <v>95</v>
      </c>
      <c r="J5" s="6">
        <v>32</v>
      </c>
      <c r="K5" s="6">
        <f t="shared" si="0"/>
        <v>44.099999999999994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10" t="s">
        <v>38</v>
      </c>
      <c r="B26" s="11">
        <v>43081</v>
      </c>
      <c r="C26" s="11">
        <v>43103</v>
      </c>
      <c r="D26" s="12"/>
      <c r="E26" s="12">
        <v>6.83</v>
      </c>
      <c r="F26" s="12">
        <v>12.5</v>
      </c>
      <c r="G26" s="12"/>
      <c r="H26" s="12"/>
      <c r="I26" s="12">
        <v>50</v>
      </c>
      <c r="J26" s="12">
        <v>25</v>
      </c>
      <c r="K26" s="12">
        <v>0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3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3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3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3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3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3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3">
      <c r="A71" s="22" t="s">
        <v>90</v>
      </c>
      <c r="B71" s="35" t="s">
        <v>96</v>
      </c>
      <c r="C71" s="35">
        <v>40362</v>
      </c>
      <c r="D71" s="5" t="s">
        <v>106</v>
      </c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12.5+(62.5-J71)*0.7</f>
        <v>31.049999999999997</v>
      </c>
      <c r="M71" s="41"/>
    </row>
    <row r="72" spans="1:13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3">
      <c r="A73" s="22" t="s">
        <v>93</v>
      </c>
      <c r="B73" s="35">
        <v>44043</v>
      </c>
      <c r="C73" s="35">
        <v>44043</v>
      </c>
      <c r="D73" s="5" t="s">
        <v>106</v>
      </c>
      <c r="E73" s="5">
        <v>27.02</v>
      </c>
      <c r="F73" s="5">
        <v>0</v>
      </c>
      <c r="G73" s="5"/>
      <c r="H73" s="5"/>
      <c r="I73" s="6">
        <v>160</v>
      </c>
      <c r="J73" s="6">
        <f>45+22</f>
        <v>67</v>
      </c>
      <c r="K73" s="6">
        <f>15+78*0.7</f>
        <v>69.599999999999994</v>
      </c>
      <c r="M73" s="41"/>
    </row>
    <row r="74" spans="1:13">
      <c r="A74" s="22" t="s">
        <v>91</v>
      </c>
      <c r="B74" s="35">
        <v>44011</v>
      </c>
      <c r="C74" s="35">
        <v>44084</v>
      </c>
      <c r="D74" s="5"/>
      <c r="E74" s="5">
        <v>11.29</v>
      </c>
      <c r="F74" s="5">
        <f>25/30*71</f>
        <v>59.166666666666671</v>
      </c>
      <c r="G74" s="5"/>
      <c r="H74" s="5"/>
      <c r="I74" s="6">
        <v>40</v>
      </c>
      <c r="J74" s="6">
        <v>25</v>
      </c>
      <c r="K74" s="6">
        <f t="shared" ref="K74:K80" si="3">(I74-J74)*0.7</f>
        <v>10.5</v>
      </c>
    </row>
    <row r="75" spans="1:13">
      <c r="A75" s="22" t="s">
        <v>98</v>
      </c>
      <c r="B75" s="35">
        <v>44048</v>
      </c>
      <c r="C75" s="35">
        <v>44081</v>
      </c>
      <c r="D75" s="5" t="s">
        <v>106</v>
      </c>
      <c r="E75" s="5">
        <v>27.88</v>
      </c>
      <c r="F75" s="5">
        <f>58/30*32</f>
        <v>61.866666666666667</v>
      </c>
      <c r="G75" s="5">
        <v>125</v>
      </c>
      <c r="H75" s="5"/>
      <c r="I75" s="6">
        <v>140</v>
      </c>
      <c r="J75" s="6">
        <f>25+33</f>
        <v>58</v>
      </c>
      <c r="K75" s="6">
        <f>17.5+64.5*0.7</f>
        <v>62.65</v>
      </c>
      <c r="M75" s="41"/>
    </row>
    <row r="76" spans="1:13">
      <c r="A76" s="22" t="s">
        <v>92</v>
      </c>
      <c r="B76" s="35">
        <v>44012</v>
      </c>
      <c r="C76" s="35">
        <v>44096</v>
      </c>
      <c r="D76" s="5"/>
      <c r="E76" s="5">
        <v>11.4</v>
      </c>
      <c r="F76" s="5">
        <f>25/30*82</f>
        <v>68.333333333333343</v>
      </c>
      <c r="G76" s="5"/>
      <c r="H76" s="5"/>
      <c r="I76" s="6">
        <v>70</v>
      </c>
      <c r="J76" s="6">
        <v>25</v>
      </c>
      <c r="K76" s="6">
        <f t="shared" si="3"/>
        <v>31.499999999999996</v>
      </c>
    </row>
    <row r="77" spans="1:13">
      <c r="A77" s="2" t="s">
        <v>99</v>
      </c>
      <c r="B77" s="35">
        <v>44084</v>
      </c>
      <c r="C77" s="35">
        <v>44105</v>
      </c>
      <c r="D77" s="5" t="s">
        <v>106</v>
      </c>
      <c r="E77" s="5">
        <v>12.24</v>
      </c>
      <c r="F77" s="5">
        <f>25/30*20</f>
        <v>16.666666666666668</v>
      </c>
      <c r="G77" s="5"/>
      <c r="H77" s="5"/>
      <c r="I77" s="6">
        <v>90</v>
      </c>
      <c r="J77" s="6">
        <v>25</v>
      </c>
      <c r="K77" s="6">
        <f>10+(55)*0.7</f>
        <v>48.5</v>
      </c>
      <c r="M77" s="41"/>
    </row>
    <row r="78" spans="1:13">
      <c r="A78" s="2" t="s">
        <v>94</v>
      </c>
      <c r="B78" s="35">
        <v>44124</v>
      </c>
      <c r="C78" s="35">
        <v>44124</v>
      </c>
      <c r="D78" s="5"/>
      <c r="E78" s="5">
        <v>7.25</v>
      </c>
      <c r="F78" s="5">
        <v>0</v>
      </c>
      <c r="G78" s="5"/>
      <c r="H78" s="5"/>
      <c r="I78" s="6">
        <v>25</v>
      </c>
      <c r="J78" s="6">
        <v>11</v>
      </c>
      <c r="K78" s="6">
        <f t="shared" si="3"/>
        <v>9.7999999999999989</v>
      </c>
    </row>
    <row r="79" spans="1:13">
      <c r="A79" s="2" t="s">
        <v>100</v>
      </c>
      <c r="B79" s="4">
        <v>44018</v>
      </c>
      <c r="C79" s="4">
        <v>44124</v>
      </c>
      <c r="D79" s="40"/>
      <c r="E79" s="5">
        <v>9.5</v>
      </c>
      <c r="F79" s="5">
        <f>25/30*104</f>
        <v>86.666666666666671</v>
      </c>
      <c r="G79" s="5"/>
      <c r="H79" s="5"/>
      <c r="I79" s="6">
        <v>70</v>
      </c>
      <c r="J79" s="6">
        <v>25</v>
      </c>
      <c r="K79" s="6">
        <f t="shared" si="3"/>
        <v>31.499999999999996</v>
      </c>
    </row>
    <row r="80" spans="1:13">
      <c r="A80" s="2" t="s">
        <v>101</v>
      </c>
      <c r="B80" s="4">
        <v>44070</v>
      </c>
      <c r="C80" s="4">
        <v>44131</v>
      </c>
      <c r="D80" s="40"/>
      <c r="E80" s="5">
        <v>13.93</v>
      </c>
      <c r="F80" s="5">
        <f>71/30*60</f>
        <v>142</v>
      </c>
      <c r="G80" s="5"/>
      <c r="H80" s="5"/>
      <c r="I80" s="6">
        <v>120</v>
      </c>
      <c r="J80" s="6">
        <f>60+11</f>
        <v>71</v>
      </c>
      <c r="K80" s="6">
        <f t="shared" si="3"/>
        <v>34.299999999999997</v>
      </c>
    </row>
    <row r="81" spans="1:13">
      <c r="A81" s="2" t="s">
        <v>102</v>
      </c>
      <c r="B81" s="4" t="s">
        <v>103</v>
      </c>
      <c r="C81" s="4">
        <v>44110</v>
      </c>
      <c r="D81" s="40" t="s">
        <v>106</v>
      </c>
      <c r="E81" s="5">
        <v>36.65</v>
      </c>
      <c r="F81" s="5">
        <f>115/30*26</f>
        <v>99.666666666666671</v>
      </c>
      <c r="G81" s="5"/>
      <c r="H81" s="5"/>
      <c r="I81" s="6">
        <v>180</v>
      </c>
      <c r="J81" s="6">
        <v>115</v>
      </c>
      <c r="K81" s="6">
        <f>10+55*0.7</f>
        <v>48.5</v>
      </c>
      <c r="M81" s="41"/>
    </row>
    <row r="82" spans="1:13">
      <c r="A82" s="22" t="s">
        <v>104</v>
      </c>
      <c r="B82" s="4">
        <v>44159</v>
      </c>
      <c r="C82" s="4">
        <v>44187</v>
      </c>
      <c r="D82" s="40"/>
      <c r="E82" s="5">
        <v>13.93</v>
      </c>
      <c r="F82" s="5">
        <f>36/30*28</f>
        <v>33.6</v>
      </c>
      <c r="G82" s="5"/>
      <c r="H82" s="5"/>
      <c r="I82" s="6">
        <v>110</v>
      </c>
      <c r="J82" s="6">
        <f>25+11</f>
        <v>36</v>
      </c>
      <c r="K82" s="6">
        <f>(I82-J82)*0.7</f>
        <v>51.8</v>
      </c>
    </row>
    <row r="83" spans="1:13">
      <c r="A83" s="22" t="s">
        <v>108</v>
      </c>
      <c r="B83" s="4">
        <v>44185</v>
      </c>
      <c r="C83" s="4">
        <v>44242</v>
      </c>
      <c r="D83" s="40" t="s">
        <v>106</v>
      </c>
      <c r="E83" s="5">
        <v>26.48</v>
      </c>
      <c r="F83" s="5">
        <f>50/30*55</f>
        <v>91.666666666666671</v>
      </c>
      <c r="G83" s="5">
        <v>160</v>
      </c>
      <c r="H83" s="5"/>
      <c r="I83" s="6">
        <v>170</v>
      </c>
      <c r="J83" s="6">
        <v>50</v>
      </c>
      <c r="K83" s="6">
        <f>(15+105*0.7)</f>
        <v>88.5</v>
      </c>
    </row>
    <row r="84" spans="1:13">
      <c r="A84" s="22" t="s">
        <v>109</v>
      </c>
      <c r="B84" s="4">
        <v>44209</v>
      </c>
      <c r="C84" s="4">
        <v>44250</v>
      </c>
      <c r="D84" s="40" t="s">
        <v>106</v>
      </c>
      <c r="E84" s="5">
        <v>22.83</v>
      </c>
      <c r="F84" s="5">
        <f>100/30*40</f>
        <v>133.33333333333334</v>
      </c>
      <c r="G84" s="5">
        <v>125</v>
      </c>
      <c r="H84" s="5"/>
      <c r="I84" s="6">
        <v>210</v>
      </c>
      <c r="J84" s="6">
        <v>100</v>
      </c>
      <c r="K84" s="6">
        <f>(22.5+87.5*0.7)</f>
        <v>83.75</v>
      </c>
    </row>
    <row r="85" spans="1:13">
      <c r="A85" s="2" t="s">
        <v>112</v>
      </c>
      <c r="B85" s="4">
        <v>44270</v>
      </c>
      <c r="C85" s="4">
        <v>44286</v>
      </c>
      <c r="D85" s="40" t="s">
        <v>106</v>
      </c>
      <c r="E85" s="5">
        <v>31.96</v>
      </c>
      <c r="F85" s="5">
        <f>55/30*16</f>
        <v>29.333333333333332</v>
      </c>
      <c r="G85" s="5">
        <v>75</v>
      </c>
      <c r="H85" s="5"/>
      <c r="I85" s="6">
        <v>100</v>
      </c>
      <c r="J85" s="6">
        <v>55</v>
      </c>
      <c r="K85" s="6">
        <f>(17.5+27.5*0.7)</f>
        <v>36.75</v>
      </c>
    </row>
    <row r="86" spans="1:13">
      <c r="A86" s="2" t="s">
        <v>113</v>
      </c>
      <c r="B86" s="4">
        <v>44245</v>
      </c>
      <c r="C86" s="4">
        <v>44271</v>
      </c>
      <c r="D86" s="40" t="s">
        <v>106</v>
      </c>
      <c r="E86" s="5">
        <v>26.76</v>
      </c>
      <c r="F86" s="5">
        <f>67/30*28</f>
        <v>62.533333333333331</v>
      </c>
      <c r="G86" s="5"/>
      <c r="H86" s="5"/>
      <c r="I86" s="6">
        <v>140</v>
      </c>
      <c r="J86" s="6">
        <v>67</v>
      </c>
      <c r="K86" s="6">
        <f>(15+0.7*58)</f>
        <v>55.599999999999994</v>
      </c>
    </row>
    <row r="87" spans="1:13">
      <c r="A87" s="2" t="s">
        <v>114</v>
      </c>
      <c r="B87" s="4">
        <v>44222</v>
      </c>
      <c r="C87" s="4">
        <v>44279</v>
      </c>
      <c r="D87" s="40" t="s">
        <v>106</v>
      </c>
      <c r="E87" s="5">
        <v>13.4</v>
      </c>
      <c r="F87" s="5">
        <f>56/30*58</f>
        <v>108.26666666666667</v>
      </c>
      <c r="G87" s="5">
        <v>100</v>
      </c>
      <c r="H87" s="5"/>
      <c r="I87" s="6">
        <v>140</v>
      </c>
      <c r="J87" s="6">
        <v>56</v>
      </c>
      <c r="K87" s="6">
        <f>(12.5+71.5*0.7)/30*6</f>
        <v>12.51</v>
      </c>
    </row>
    <row r="88" spans="1:13">
      <c r="A88" s="22" t="s">
        <v>120</v>
      </c>
      <c r="B88" s="4">
        <v>44169</v>
      </c>
      <c r="C88" s="4">
        <v>44208</v>
      </c>
      <c r="D88" s="40" t="s">
        <v>106</v>
      </c>
      <c r="E88" s="5"/>
      <c r="F88" s="5">
        <f>41/30*38</f>
        <v>51.933333333333337</v>
      </c>
      <c r="G88" s="5"/>
      <c r="H88" s="5"/>
      <c r="I88" s="6">
        <v>70</v>
      </c>
      <c r="J88" s="6">
        <v>45</v>
      </c>
      <c r="K88" s="6">
        <f>10+10*0.7</f>
        <v>17</v>
      </c>
    </row>
    <row r="89" spans="1:13">
      <c r="A89" s="2" t="s">
        <v>119</v>
      </c>
      <c r="B89" s="4">
        <v>44281</v>
      </c>
      <c r="C89" s="4">
        <v>44316</v>
      </c>
      <c r="D89" s="40"/>
      <c r="E89" s="5">
        <v>14.26</v>
      </c>
      <c r="F89" s="5">
        <f>45/30*34</f>
        <v>51</v>
      </c>
      <c r="G89" s="5"/>
      <c r="H89" s="5"/>
      <c r="I89" s="6">
        <v>110</v>
      </c>
      <c r="J89" s="6">
        <v>45</v>
      </c>
      <c r="K89" s="6">
        <f>(65*0.7)</f>
        <v>45.5</v>
      </c>
    </row>
    <row r="90" spans="1:13">
      <c r="A90" s="22" t="s">
        <v>121</v>
      </c>
      <c r="B90" s="4">
        <v>44316</v>
      </c>
      <c r="C90" s="4">
        <v>44354</v>
      </c>
      <c r="D90" s="40"/>
      <c r="E90" s="5">
        <v>15.15</v>
      </c>
      <c r="F90" s="5">
        <f>36/30*37</f>
        <v>44.4</v>
      </c>
      <c r="G90" s="5"/>
      <c r="H90" s="5"/>
      <c r="I90" s="6">
        <v>110</v>
      </c>
      <c r="J90" s="6">
        <v>36</v>
      </c>
      <c r="K90" s="6">
        <f>(I90-J90)</f>
        <v>74</v>
      </c>
    </row>
    <row r="91" spans="1:13">
      <c r="A91" s="22" t="s">
        <v>126</v>
      </c>
      <c r="B91" s="4">
        <v>44336</v>
      </c>
      <c r="C91" s="4">
        <v>44370</v>
      </c>
      <c r="D91" s="40" t="s">
        <v>106</v>
      </c>
      <c r="E91" s="5">
        <v>35.78</v>
      </c>
      <c r="F91" s="5">
        <f>58/30*33</f>
        <v>63.8</v>
      </c>
      <c r="G91" s="5">
        <v>50</v>
      </c>
      <c r="H91" s="5"/>
      <c r="I91" s="6">
        <v>150</v>
      </c>
      <c r="J91" s="6">
        <v>58</v>
      </c>
      <c r="K91" s="6">
        <f>(17.5+74.5*0.7)</f>
        <v>69.650000000000006</v>
      </c>
    </row>
    <row r="92" spans="1:13">
      <c r="A92" s="22" t="s">
        <v>125</v>
      </c>
      <c r="B92" s="4">
        <v>44342</v>
      </c>
      <c r="C92" s="4">
        <v>44386</v>
      </c>
      <c r="D92" s="40" t="s">
        <v>106</v>
      </c>
      <c r="E92" s="5">
        <v>15.46</v>
      </c>
      <c r="F92" s="5">
        <f>36/30*43</f>
        <v>51.6</v>
      </c>
      <c r="G92" s="5">
        <f>50+45</f>
        <v>95</v>
      </c>
      <c r="H92" s="5"/>
      <c r="I92" s="6">
        <v>110</v>
      </c>
      <c r="J92" s="6">
        <v>36</v>
      </c>
      <c r="K92" s="6">
        <f>(12.5+(97.5-36)*0.7)</f>
        <v>55.55</v>
      </c>
    </row>
    <row r="93" spans="1:13">
      <c r="A93" s="22" t="s">
        <v>129</v>
      </c>
      <c r="B93" s="4">
        <v>44348</v>
      </c>
      <c r="C93" s="4">
        <v>44389</v>
      </c>
      <c r="D93" s="40" t="s">
        <v>106</v>
      </c>
      <c r="E93" s="5">
        <v>26.22</v>
      </c>
      <c r="F93" s="5">
        <f>71/30*42</f>
        <v>99.4</v>
      </c>
      <c r="G93" s="5">
        <f>50+45</f>
        <v>95</v>
      </c>
      <c r="H93" s="5"/>
      <c r="I93" s="6">
        <v>140</v>
      </c>
      <c r="J93" s="6">
        <v>71</v>
      </c>
      <c r="K93" s="6">
        <f>(12.5+(127.5-71)*0.7)</f>
        <v>52.05</v>
      </c>
    </row>
    <row r="94" spans="1:13">
      <c r="A94" s="22" t="s">
        <v>124</v>
      </c>
      <c r="B94" s="4">
        <v>44348</v>
      </c>
      <c r="C94" s="4">
        <v>44389</v>
      </c>
      <c r="D94" s="40"/>
      <c r="E94" s="5">
        <v>11.62</v>
      </c>
      <c r="F94" s="5">
        <f>26/30*42</f>
        <v>36.4</v>
      </c>
      <c r="G94" s="5">
        <v>65</v>
      </c>
      <c r="H94" s="5"/>
      <c r="I94" s="6">
        <v>70</v>
      </c>
      <c r="J94" s="6">
        <v>26</v>
      </c>
      <c r="K94" s="6">
        <f>(70-26)*0.7</f>
        <v>30.799999999999997</v>
      </c>
    </row>
    <row r="95" spans="1:13">
      <c r="A95" s="19"/>
      <c r="B95" s="15"/>
      <c r="C95" s="15"/>
      <c r="E95" s="34"/>
      <c r="J95" s="8" t="s">
        <v>4</v>
      </c>
      <c r="K95" s="8">
        <f>SUM(K2:K94)</f>
        <v>3160.110000000001</v>
      </c>
    </row>
    <row r="96" spans="1:13">
      <c r="A96" s="28"/>
      <c r="C96" s="15"/>
      <c r="D96" s="1"/>
      <c r="E96" s="1"/>
      <c r="F96" s="1"/>
      <c r="G96" s="1"/>
      <c r="H96" s="1"/>
      <c r="I96" s="1"/>
      <c r="J96" s="29"/>
      <c r="K96" s="29"/>
    </row>
    <row r="98" spans="5:8">
      <c r="E98" s="30"/>
      <c r="H98" t="s">
        <v>131</v>
      </c>
    </row>
    <row r="99" spans="5:8">
      <c r="F99" s="42"/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dimension ref="A1:M99"/>
  <sheetViews>
    <sheetView topLeftCell="A82" workbookViewId="0">
      <selection activeCell="K95" sqref="K95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105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10" t="s">
        <v>13</v>
      </c>
      <c r="B5" s="11">
        <v>42102</v>
      </c>
      <c r="C5" s="11">
        <v>42136</v>
      </c>
      <c r="D5" s="12"/>
      <c r="E5" s="12"/>
      <c r="F5" s="12">
        <f>32/30*34</f>
        <v>36.266666666666666</v>
      </c>
      <c r="G5" s="12"/>
      <c r="H5" s="12"/>
      <c r="I5" s="12">
        <v>95</v>
      </c>
      <c r="J5" s="12">
        <v>32</v>
      </c>
      <c r="K5" s="12">
        <v>0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10" t="s">
        <v>38</v>
      </c>
      <c r="B26" s="11">
        <v>43081</v>
      </c>
      <c r="C26" s="11">
        <v>43103</v>
      </c>
      <c r="D26" s="12"/>
      <c r="E26" s="12">
        <v>6.83</v>
      </c>
      <c r="F26" s="12">
        <v>12.5</v>
      </c>
      <c r="G26" s="12"/>
      <c r="H26" s="12"/>
      <c r="I26" s="12">
        <v>50</v>
      </c>
      <c r="J26" s="12">
        <v>25</v>
      </c>
      <c r="K26" s="12">
        <v>0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3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3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3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3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3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3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3">
      <c r="A71" s="22" t="s">
        <v>90</v>
      </c>
      <c r="B71" s="35" t="s">
        <v>96</v>
      </c>
      <c r="C71" s="35">
        <v>40362</v>
      </c>
      <c r="D71" s="5" t="s">
        <v>106</v>
      </c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12.5+(62.5-J71)*0.7</f>
        <v>31.049999999999997</v>
      </c>
      <c r="M71" s="41"/>
    </row>
    <row r="72" spans="1:13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3">
      <c r="A73" s="22" t="s">
        <v>93</v>
      </c>
      <c r="B73" s="35">
        <v>44043</v>
      </c>
      <c r="C73" s="35">
        <v>44043</v>
      </c>
      <c r="D73" s="5" t="s">
        <v>106</v>
      </c>
      <c r="E73" s="5">
        <v>27.02</v>
      </c>
      <c r="F73" s="5">
        <v>0</v>
      </c>
      <c r="G73" s="5"/>
      <c r="H73" s="5"/>
      <c r="I73" s="6">
        <v>160</v>
      </c>
      <c r="J73" s="6">
        <f>45+22</f>
        <v>67</v>
      </c>
      <c r="K73" s="6">
        <f>15+78*0.7</f>
        <v>69.599999999999994</v>
      </c>
      <c r="M73" s="41"/>
    </row>
    <row r="74" spans="1:13">
      <c r="A74" s="22" t="s">
        <v>91</v>
      </c>
      <c r="B74" s="35">
        <v>44011</v>
      </c>
      <c r="C74" s="35">
        <v>44084</v>
      </c>
      <c r="D74" s="5"/>
      <c r="E74" s="5">
        <v>11.29</v>
      </c>
      <c r="F74" s="5">
        <f>25/30*71</f>
        <v>59.166666666666671</v>
      </c>
      <c r="G74" s="5"/>
      <c r="H74" s="5"/>
      <c r="I74" s="6">
        <v>40</v>
      </c>
      <c r="J74" s="6">
        <v>25</v>
      </c>
      <c r="K74" s="6">
        <f t="shared" ref="K74:K80" si="3">(I74-J74)*0.7</f>
        <v>10.5</v>
      </c>
    </row>
    <row r="75" spans="1:13">
      <c r="A75" s="22" t="s">
        <v>98</v>
      </c>
      <c r="B75" s="35">
        <v>44048</v>
      </c>
      <c r="C75" s="35">
        <v>44081</v>
      </c>
      <c r="D75" s="5" t="s">
        <v>106</v>
      </c>
      <c r="E75" s="5">
        <v>27.88</v>
      </c>
      <c r="F75" s="5">
        <f>58/30*32</f>
        <v>61.866666666666667</v>
      </c>
      <c r="G75" s="5">
        <v>125</v>
      </c>
      <c r="H75" s="5"/>
      <c r="I75" s="6">
        <v>140</v>
      </c>
      <c r="J75" s="6">
        <f>25+33</f>
        <v>58</v>
      </c>
      <c r="K75" s="6">
        <f>17.5+64.5*0.7</f>
        <v>62.65</v>
      </c>
      <c r="M75" s="41"/>
    </row>
    <row r="76" spans="1:13">
      <c r="A76" s="22" t="s">
        <v>92</v>
      </c>
      <c r="B76" s="35">
        <v>44012</v>
      </c>
      <c r="C76" s="35">
        <v>44096</v>
      </c>
      <c r="D76" s="5"/>
      <c r="E76" s="5">
        <v>11.4</v>
      </c>
      <c r="F76" s="5">
        <f>25/30*82</f>
        <v>68.333333333333343</v>
      </c>
      <c r="G76" s="5"/>
      <c r="H76" s="5"/>
      <c r="I76" s="6">
        <v>70</v>
      </c>
      <c r="J76" s="6">
        <v>25</v>
      </c>
      <c r="K76" s="6">
        <f t="shared" si="3"/>
        <v>31.499999999999996</v>
      </c>
    </row>
    <row r="77" spans="1:13">
      <c r="A77" s="2" t="s">
        <v>99</v>
      </c>
      <c r="B77" s="35">
        <v>44084</v>
      </c>
      <c r="C77" s="35">
        <v>44105</v>
      </c>
      <c r="D77" s="5" t="s">
        <v>106</v>
      </c>
      <c r="E77" s="5">
        <v>12.24</v>
      </c>
      <c r="F77" s="5">
        <f>25/30*20</f>
        <v>16.666666666666668</v>
      </c>
      <c r="G77" s="5"/>
      <c r="H77" s="5"/>
      <c r="I77" s="43">
        <v>40</v>
      </c>
      <c r="J77" s="6">
        <v>22</v>
      </c>
      <c r="K77" s="6">
        <f>5+13*0.7</f>
        <v>14.1</v>
      </c>
      <c r="M77" s="41"/>
    </row>
    <row r="78" spans="1:13">
      <c r="A78" s="2" t="s">
        <v>94</v>
      </c>
      <c r="B78" s="35">
        <v>44124</v>
      </c>
      <c r="C78" s="35">
        <v>44124</v>
      </c>
      <c r="D78" s="5"/>
      <c r="E78" s="5">
        <v>7.25</v>
      </c>
      <c r="F78" s="5">
        <v>0</v>
      </c>
      <c r="G78" s="5"/>
      <c r="H78" s="5"/>
      <c r="I78" s="6">
        <v>25</v>
      </c>
      <c r="J78" s="6">
        <v>11</v>
      </c>
      <c r="K78" s="6">
        <f t="shared" si="3"/>
        <v>9.7999999999999989</v>
      </c>
    </row>
    <row r="79" spans="1:13">
      <c r="A79" s="2" t="s">
        <v>100</v>
      </c>
      <c r="B79" s="4">
        <v>44018</v>
      </c>
      <c r="C79" s="4">
        <v>44124</v>
      </c>
      <c r="D79" s="40"/>
      <c r="E79" s="5">
        <v>9.5</v>
      </c>
      <c r="F79" s="5">
        <f>25/30*104</f>
        <v>86.666666666666671</v>
      </c>
      <c r="G79" s="5"/>
      <c r="H79" s="5"/>
      <c r="I79" s="6">
        <v>70</v>
      </c>
      <c r="J79" s="6">
        <v>25</v>
      </c>
      <c r="K79" s="6">
        <f t="shared" si="3"/>
        <v>31.499999999999996</v>
      </c>
    </row>
    <row r="80" spans="1:13">
      <c r="A80" s="2" t="s">
        <v>101</v>
      </c>
      <c r="B80" s="4">
        <v>44070</v>
      </c>
      <c r="C80" s="4">
        <v>44131</v>
      </c>
      <c r="D80" s="40"/>
      <c r="E80" s="5">
        <v>13.93</v>
      </c>
      <c r="F80" s="5">
        <f>71/30*60</f>
        <v>142</v>
      </c>
      <c r="G80" s="5"/>
      <c r="H80" s="5"/>
      <c r="I80" s="6">
        <v>120</v>
      </c>
      <c r="J80" s="6">
        <f>60+11</f>
        <v>71</v>
      </c>
      <c r="K80" s="6">
        <f t="shared" si="3"/>
        <v>34.299999999999997</v>
      </c>
    </row>
    <row r="81" spans="1:13">
      <c r="A81" s="2" t="s">
        <v>102</v>
      </c>
      <c r="B81" s="4" t="s">
        <v>103</v>
      </c>
      <c r="C81" s="4">
        <v>44110</v>
      </c>
      <c r="D81" s="40" t="s">
        <v>106</v>
      </c>
      <c r="E81" s="5">
        <v>36.65</v>
      </c>
      <c r="F81" s="5">
        <f>115/30*26</f>
        <v>99.666666666666671</v>
      </c>
      <c r="G81" s="5"/>
      <c r="H81" s="5"/>
      <c r="I81" s="6">
        <v>180</v>
      </c>
      <c r="J81" s="6">
        <v>115</v>
      </c>
      <c r="K81" s="6">
        <f>10+55*0.7</f>
        <v>48.5</v>
      </c>
      <c r="M81" s="41"/>
    </row>
    <row r="82" spans="1:13">
      <c r="A82" s="22" t="s">
        <v>104</v>
      </c>
      <c r="B82" s="4">
        <v>44159</v>
      </c>
      <c r="C82" s="4">
        <v>44187</v>
      </c>
      <c r="D82" s="40"/>
      <c r="E82" s="5">
        <v>13.93</v>
      </c>
      <c r="F82" s="5">
        <f>36/30*28</f>
        <v>33.6</v>
      </c>
      <c r="G82" s="5"/>
      <c r="H82" s="5"/>
      <c r="I82" s="6">
        <v>110</v>
      </c>
      <c r="J82" s="6">
        <f>25+11</f>
        <v>36</v>
      </c>
      <c r="K82" s="6">
        <f>(I82-J82)*0.7</f>
        <v>51.8</v>
      </c>
    </row>
    <row r="83" spans="1:13">
      <c r="A83" s="22" t="s">
        <v>108</v>
      </c>
      <c r="B83" s="4">
        <v>44185</v>
      </c>
      <c r="C83" s="4">
        <v>44242</v>
      </c>
      <c r="D83" s="40" t="s">
        <v>106</v>
      </c>
      <c r="E83" s="5">
        <v>26.48</v>
      </c>
      <c r="F83" s="5">
        <f>50/30*55</f>
        <v>91.666666666666671</v>
      </c>
      <c r="G83" s="5">
        <v>160</v>
      </c>
      <c r="H83" s="5"/>
      <c r="I83" s="6">
        <v>170</v>
      </c>
      <c r="J83" s="6">
        <v>50</v>
      </c>
      <c r="K83" s="6">
        <f>(15+105*0.7)</f>
        <v>88.5</v>
      </c>
    </row>
    <row r="84" spans="1:13">
      <c r="A84" s="22" t="s">
        <v>109</v>
      </c>
      <c r="B84" s="4">
        <v>44209</v>
      </c>
      <c r="C84" s="4">
        <v>44250</v>
      </c>
      <c r="D84" s="40" t="s">
        <v>106</v>
      </c>
      <c r="E84" s="5">
        <v>22.83</v>
      </c>
      <c r="F84" s="5">
        <f>100/30*40</f>
        <v>133.33333333333334</v>
      </c>
      <c r="G84" s="5">
        <v>125</v>
      </c>
      <c r="H84" s="5"/>
      <c r="I84" s="6">
        <v>210</v>
      </c>
      <c r="J84" s="6">
        <v>100</v>
      </c>
      <c r="K84" s="6">
        <f>(22.5+87.5*0.7)</f>
        <v>83.75</v>
      </c>
    </row>
    <row r="85" spans="1:13">
      <c r="A85" s="2" t="s">
        <v>112</v>
      </c>
      <c r="B85" s="4">
        <v>44270</v>
      </c>
      <c r="C85" s="4">
        <v>44286</v>
      </c>
      <c r="D85" s="40" t="s">
        <v>106</v>
      </c>
      <c r="E85" s="5">
        <v>31.96</v>
      </c>
      <c r="F85" s="5">
        <f>55/30*16</f>
        <v>29.333333333333332</v>
      </c>
      <c r="G85" s="5">
        <v>75</v>
      </c>
      <c r="H85" s="5"/>
      <c r="I85" s="6">
        <v>100</v>
      </c>
      <c r="J85" s="6">
        <v>55</v>
      </c>
      <c r="K85" s="6">
        <f>(17.5+27.5*0.7)</f>
        <v>36.75</v>
      </c>
    </row>
    <row r="86" spans="1:13">
      <c r="A86" s="2" t="s">
        <v>113</v>
      </c>
      <c r="B86" s="4">
        <v>44245</v>
      </c>
      <c r="C86" s="4">
        <v>44271</v>
      </c>
      <c r="D86" s="40" t="s">
        <v>106</v>
      </c>
      <c r="E86" s="5">
        <v>26.76</v>
      </c>
      <c r="F86" s="5">
        <f>67/30*28</f>
        <v>62.533333333333331</v>
      </c>
      <c r="G86" s="5"/>
      <c r="H86" s="5"/>
      <c r="I86" s="6">
        <v>140</v>
      </c>
      <c r="J86" s="6">
        <v>67</v>
      </c>
      <c r="K86" s="6">
        <f>(15+0.7*58)</f>
        <v>55.599999999999994</v>
      </c>
    </row>
    <row r="87" spans="1:13">
      <c r="A87" s="2" t="s">
        <v>114</v>
      </c>
      <c r="B87" s="4">
        <v>44222</v>
      </c>
      <c r="C87" s="4">
        <v>44279</v>
      </c>
      <c r="D87" s="40" t="s">
        <v>106</v>
      </c>
      <c r="E87" s="5">
        <v>13.4</v>
      </c>
      <c r="F87" s="5">
        <f>56/30*58</f>
        <v>108.26666666666667</v>
      </c>
      <c r="G87" s="5">
        <v>100</v>
      </c>
      <c r="H87" s="5"/>
      <c r="I87" s="6">
        <v>140</v>
      </c>
      <c r="J87" s="6">
        <v>56</v>
      </c>
      <c r="K87" s="6">
        <f>(12.5+71.5*0.7)/30*6</f>
        <v>12.51</v>
      </c>
    </row>
    <row r="88" spans="1:13">
      <c r="A88" s="22" t="s">
        <v>120</v>
      </c>
      <c r="B88" s="4">
        <v>44169</v>
      </c>
      <c r="C88" s="4">
        <v>44208</v>
      </c>
      <c r="D88" s="40" t="s">
        <v>106</v>
      </c>
      <c r="E88" s="5"/>
      <c r="F88" s="5">
        <f>41/30*38</f>
        <v>51.933333333333337</v>
      </c>
      <c r="G88" s="5"/>
      <c r="H88" s="5"/>
      <c r="I88" s="6">
        <v>70</v>
      </c>
      <c r="J88" s="6">
        <v>45</v>
      </c>
      <c r="K88" s="6">
        <f>10+10*0.7</f>
        <v>17</v>
      </c>
    </row>
    <row r="89" spans="1:13">
      <c r="A89" s="2" t="s">
        <v>119</v>
      </c>
      <c r="B89" s="4">
        <v>44281</v>
      </c>
      <c r="C89" s="4">
        <v>44316</v>
      </c>
      <c r="D89" s="40"/>
      <c r="E89" s="5">
        <v>14.26</v>
      </c>
      <c r="F89" s="5">
        <f>45/30*34</f>
        <v>51</v>
      </c>
      <c r="G89" s="5"/>
      <c r="H89" s="5"/>
      <c r="I89" s="6">
        <v>110</v>
      </c>
      <c r="J89" s="6">
        <v>45</v>
      </c>
      <c r="K89" s="6">
        <f>(65*0.7)</f>
        <v>45.5</v>
      </c>
    </row>
    <row r="90" spans="1:13">
      <c r="A90" s="22" t="s">
        <v>121</v>
      </c>
      <c r="B90" s="4">
        <v>44316</v>
      </c>
      <c r="C90" s="4">
        <v>44354</v>
      </c>
      <c r="D90" s="40"/>
      <c r="E90" s="5">
        <v>15.15</v>
      </c>
      <c r="F90" s="5">
        <f>36/30*37</f>
        <v>44.4</v>
      </c>
      <c r="G90" s="5"/>
      <c r="H90" s="5"/>
      <c r="I90" s="6">
        <v>110</v>
      </c>
      <c r="J90" s="6">
        <v>36</v>
      </c>
      <c r="K90" s="6">
        <f>(I90-J90)</f>
        <v>74</v>
      </c>
    </row>
    <row r="91" spans="1:13">
      <c r="A91" s="22" t="s">
        <v>126</v>
      </c>
      <c r="B91" s="4">
        <v>44336</v>
      </c>
      <c r="C91" s="4">
        <v>44370</v>
      </c>
      <c r="D91" s="40" t="s">
        <v>106</v>
      </c>
      <c r="E91" s="5">
        <v>35.78</v>
      </c>
      <c r="F91" s="5">
        <f>58/30*33</f>
        <v>63.8</v>
      </c>
      <c r="G91" s="5">
        <v>50</v>
      </c>
      <c r="H91" s="5"/>
      <c r="I91" s="6">
        <v>150</v>
      </c>
      <c r="J91" s="6">
        <v>58</v>
      </c>
      <c r="K91" s="6">
        <f>(17.5+74.5*0.7)</f>
        <v>69.650000000000006</v>
      </c>
    </row>
    <row r="92" spans="1:13">
      <c r="A92" s="22" t="s">
        <v>125</v>
      </c>
      <c r="B92" s="4">
        <v>44342</v>
      </c>
      <c r="C92" s="4">
        <v>44386</v>
      </c>
      <c r="D92" s="40" t="s">
        <v>106</v>
      </c>
      <c r="E92" s="5">
        <v>15.46</v>
      </c>
      <c r="F92" s="5">
        <f>36/30*43</f>
        <v>51.6</v>
      </c>
      <c r="G92" s="5">
        <f>50+45</f>
        <v>95</v>
      </c>
      <c r="H92" s="5"/>
      <c r="I92" s="6">
        <v>110</v>
      </c>
      <c r="J92" s="6">
        <v>36</v>
      </c>
      <c r="K92" s="6">
        <f>(12.5+(97.5-36)*0.7)</f>
        <v>55.55</v>
      </c>
    </row>
    <row r="93" spans="1:13">
      <c r="A93" s="22" t="s">
        <v>129</v>
      </c>
      <c r="B93" s="4">
        <v>44348</v>
      </c>
      <c r="C93" s="4">
        <v>44389</v>
      </c>
      <c r="D93" s="40" t="s">
        <v>106</v>
      </c>
      <c r="E93" s="5">
        <v>26.22</v>
      </c>
      <c r="F93" s="5">
        <f>71/30*42</f>
        <v>99.4</v>
      </c>
      <c r="G93" s="5">
        <f>50+45</f>
        <v>95</v>
      </c>
      <c r="H93" s="5"/>
      <c r="I93" s="6">
        <v>140</v>
      </c>
      <c r="J93" s="6">
        <v>71</v>
      </c>
      <c r="K93" s="6">
        <f>(12.5+(127.5-71)*0.7)</f>
        <v>52.05</v>
      </c>
    </row>
    <row r="94" spans="1:13">
      <c r="A94" s="22" t="s">
        <v>124</v>
      </c>
      <c r="B94" s="4">
        <v>44348</v>
      </c>
      <c r="C94" s="4">
        <v>44389</v>
      </c>
      <c r="D94" s="40"/>
      <c r="E94" s="5">
        <v>11.62</v>
      </c>
      <c r="F94" s="5">
        <f>26/30*42</f>
        <v>36.4</v>
      </c>
      <c r="G94" s="5">
        <v>65</v>
      </c>
      <c r="H94" s="5"/>
      <c r="I94" s="6">
        <v>70</v>
      </c>
      <c r="J94" s="6">
        <v>26</v>
      </c>
      <c r="K94" s="6">
        <f>(70-26)*0.7</f>
        <v>30.799999999999997</v>
      </c>
    </row>
    <row r="95" spans="1:13">
      <c r="A95" s="19"/>
      <c r="B95" s="15"/>
      <c r="C95" s="15"/>
      <c r="E95" s="34"/>
      <c r="J95" s="8" t="s">
        <v>4</v>
      </c>
      <c r="K95" s="8">
        <f>SUM(K2:K94)</f>
        <v>3081.6100000000006</v>
      </c>
    </row>
    <row r="96" spans="1:13">
      <c r="A96" s="28"/>
      <c r="C96" s="15"/>
      <c r="D96" s="1"/>
      <c r="E96" s="1"/>
      <c r="F96" s="1"/>
      <c r="G96" s="1"/>
      <c r="H96" s="1"/>
      <c r="I96" s="1"/>
      <c r="J96" s="29"/>
      <c r="K96" s="29"/>
    </row>
    <row r="98" spans="5:8">
      <c r="E98" s="30"/>
      <c r="H98" t="s">
        <v>131</v>
      </c>
    </row>
    <row r="99" spans="5:8">
      <c r="F99" s="42"/>
      <c r="H99" t="s">
        <v>134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dimension ref="A1:M101"/>
  <sheetViews>
    <sheetView topLeftCell="A88" workbookViewId="0">
      <selection activeCell="K97" sqref="K97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105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10" t="s">
        <v>13</v>
      </c>
      <c r="B5" s="11">
        <v>42102</v>
      </c>
      <c r="C5" s="11">
        <v>42136</v>
      </c>
      <c r="D5" s="12"/>
      <c r="E5" s="12"/>
      <c r="F5" s="12">
        <f>32/30*34</f>
        <v>36.266666666666666</v>
      </c>
      <c r="G5" s="12"/>
      <c r="H5" s="12"/>
      <c r="I5" s="12">
        <v>95</v>
      </c>
      <c r="J5" s="12">
        <v>32</v>
      </c>
      <c r="K5" s="12">
        <v>0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10" t="s">
        <v>38</v>
      </c>
      <c r="B26" s="11">
        <v>43081</v>
      </c>
      <c r="C26" s="11">
        <v>43103</v>
      </c>
      <c r="D26" s="12"/>
      <c r="E26" s="12">
        <v>6.83</v>
      </c>
      <c r="F26" s="12">
        <v>12.5</v>
      </c>
      <c r="G26" s="12"/>
      <c r="H26" s="12"/>
      <c r="I26" s="12">
        <v>50</v>
      </c>
      <c r="J26" s="12">
        <v>25</v>
      </c>
      <c r="K26" s="12">
        <v>0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2" t="s">
        <v>41</v>
      </c>
      <c r="B29" s="4">
        <v>43133</v>
      </c>
      <c r="C29" s="4">
        <v>43171</v>
      </c>
      <c r="D29" s="5"/>
      <c r="E29" s="5">
        <v>9.92</v>
      </c>
      <c r="F29" s="5">
        <f>25*1.33</f>
        <v>33.25</v>
      </c>
      <c r="G29" s="5"/>
      <c r="H29" s="5"/>
      <c r="I29" s="6">
        <v>85</v>
      </c>
      <c r="J29" s="18">
        <v>25</v>
      </c>
      <c r="K29" s="18">
        <f t="shared" si="0"/>
        <v>42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3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3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3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3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3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3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3">
      <c r="A71" s="22" t="s">
        <v>90</v>
      </c>
      <c r="B71" s="35" t="s">
        <v>96</v>
      </c>
      <c r="C71" s="35">
        <v>40362</v>
      </c>
      <c r="D71" s="5" t="s">
        <v>106</v>
      </c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12.5+(62.5-J71)*0.7</f>
        <v>31.049999999999997</v>
      </c>
      <c r="M71" s="41"/>
    </row>
    <row r="72" spans="1:13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3">
      <c r="A73" s="22" t="s">
        <v>93</v>
      </c>
      <c r="B73" s="35">
        <v>44043</v>
      </c>
      <c r="C73" s="35">
        <v>44043</v>
      </c>
      <c r="D73" s="5" t="s">
        <v>106</v>
      </c>
      <c r="E73" s="5">
        <v>27.02</v>
      </c>
      <c r="F73" s="5">
        <v>0</v>
      </c>
      <c r="G73" s="5"/>
      <c r="H73" s="5"/>
      <c r="I73" s="6">
        <v>160</v>
      </c>
      <c r="J73" s="6">
        <f>45+22</f>
        <v>67</v>
      </c>
      <c r="K73" s="6">
        <f>15+78*0.7</f>
        <v>69.599999999999994</v>
      </c>
      <c r="M73" s="41"/>
    </row>
    <row r="74" spans="1:13">
      <c r="A74" s="22" t="s">
        <v>91</v>
      </c>
      <c r="B74" s="35">
        <v>44011</v>
      </c>
      <c r="C74" s="35">
        <v>44084</v>
      </c>
      <c r="D74" s="5"/>
      <c r="E74" s="5">
        <v>11.29</v>
      </c>
      <c r="F74" s="5">
        <f>25/30*71</f>
        <v>59.166666666666671</v>
      </c>
      <c r="G74" s="5"/>
      <c r="H74" s="5"/>
      <c r="I74" s="6">
        <v>40</v>
      </c>
      <c r="J74" s="6">
        <v>25</v>
      </c>
      <c r="K74" s="6">
        <f t="shared" ref="K74:K80" si="3">(I74-J74)*0.7</f>
        <v>10.5</v>
      </c>
    </row>
    <row r="75" spans="1:13">
      <c r="A75" s="22" t="s">
        <v>98</v>
      </c>
      <c r="B75" s="35">
        <v>44048</v>
      </c>
      <c r="C75" s="35">
        <v>44081</v>
      </c>
      <c r="D75" s="5" t="s">
        <v>106</v>
      </c>
      <c r="E75" s="5">
        <v>27.88</v>
      </c>
      <c r="F75" s="5">
        <f>58/30*32</f>
        <v>61.866666666666667</v>
      </c>
      <c r="G75" s="5">
        <v>125</v>
      </c>
      <c r="H75" s="5"/>
      <c r="I75" s="6">
        <v>140</v>
      </c>
      <c r="J75" s="6">
        <f>25+33</f>
        <v>58</v>
      </c>
      <c r="K75" s="6">
        <f>17.5+64.5*0.7</f>
        <v>62.65</v>
      </c>
      <c r="M75" s="41"/>
    </row>
    <row r="76" spans="1:13">
      <c r="A76" s="10" t="s">
        <v>92</v>
      </c>
      <c r="B76" s="11">
        <v>44012</v>
      </c>
      <c r="C76" s="11">
        <v>44096</v>
      </c>
      <c r="D76" s="12"/>
      <c r="E76" s="12">
        <v>11.4</v>
      </c>
      <c r="F76" s="12">
        <f>25/30*82</f>
        <v>68.333333333333343</v>
      </c>
      <c r="G76" s="12"/>
      <c r="H76" s="12"/>
      <c r="I76" s="12">
        <v>70</v>
      </c>
      <c r="J76" s="12">
        <v>25</v>
      </c>
      <c r="K76" s="12">
        <v>0</v>
      </c>
    </row>
    <row r="77" spans="1:13">
      <c r="A77" s="2" t="s">
        <v>99</v>
      </c>
      <c r="B77" s="35">
        <v>44084</v>
      </c>
      <c r="C77" s="35">
        <v>44105</v>
      </c>
      <c r="D77" s="5" t="s">
        <v>106</v>
      </c>
      <c r="E77" s="5">
        <v>12.24</v>
      </c>
      <c r="F77" s="5">
        <f>25/30*20</f>
        <v>16.666666666666668</v>
      </c>
      <c r="G77" s="5"/>
      <c r="H77" s="5"/>
      <c r="I77" s="43">
        <v>40</v>
      </c>
      <c r="J77" s="6">
        <v>22</v>
      </c>
      <c r="K77" s="6">
        <f>5+13*0.7</f>
        <v>14.1</v>
      </c>
      <c r="M77" s="41"/>
    </row>
    <row r="78" spans="1:13">
      <c r="A78" s="2" t="s">
        <v>94</v>
      </c>
      <c r="B78" s="35">
        <v>44124</v>
      </c>
      <c r="C78" s="35">
        <v>44124</v>
      </c>
      <c r="D78" s="5"/>
      <c r="E78" s="5">
        <v>7.25</v>
      </c>
      <c r="F78" s="5">
        <v>0</v>
      </c>
      <c r="G78" s="5"/>
      <c r="H78" s="5"/>
      <c r="I78" s="6">
        <v>25</v>
      </c>
      <c r="J78" s="6">
        <v>11</v>
      </c>
      <c r="K78" s="6">
        <f t="shared" si="3"/>
        <v>9.7999999999999989</v>
      </c>
    </row>
    <row r="79" spans="1:13">
      <c r="A79" s="2" t="s">
        <v>100</v>
      </c>
      <c r="B79" s="4">
        <v>44018</v>
      </c>
      <c r="C79" s="4">
        <v>44124</v>
      </c>
      <c r="D79" s="40"/>
      <c r="E79" s="5">
        <v>9.5</v>
      </c>
      <c r="F79" s="5">
        <f>25/30*104</f>
        <v>86.666666666666671</v>
      </c>
      <c r="G79" s="5"/>
      <c r="H79" s="5"/>
      <c r="I79" s="6">
        <v>70</v>
      </c>
      <c r="J79" s="6">
        <v>25</v>
      </c>
      <c r="K79" s="6">
        <f t="shared" si="3"/>
        <v>31.499999999999996</v>
      </c>
    </row>
    <row r="80" spans="1:13">
      <c r="A80" s="2" t="s">
        <v>101</v>
      </c>
      <c r="B80" s="4">
        <v>44070</v>
      </c>
      <c r="C80" s="4">
        <v>44131</v>
      </c>
      <c r="D80" s="40"/>
      <c r="E80" s="5">
        <v>13.93</v>
      </c>
      <c r="F80" s="5">
        <f>71/30*60</f>
        <v>142</v>
      </c>
      <c r="G80" s="5"/>
      <c r="H80" s="5"/>
      <c r="I80" s="6">
        <v>120</v>
      </c>
      <c r="J80" s="6">
        <f>60+11</f>
        <v>71</v>
      </c>
      <c r="K80" s="6">
        <f t="shared" si="3"/>
        <v>34.299999999999997</v>
      </c>
    </row>
    <row r="81" spans="1:13">
      <c r="A81" s="2" t="s">
        <v>102</v>
      </c>
      <c r="B81" s="4" t="s">
        <v>103</v>
      </c>
      <c r="C81" s="4">
        <v>44110</v>
      </c>
      <c r="D81" s="40" t="s">
        <v>106</v>
      </c>
      <c r="E81" s="5">
        <v>36.65</v>
      </c>
      <c r="F81" s="5">
        <f>115/30*26</f>
        <v>99.666666666666671</v>
      </c>
      <c r="G81" s="5"/>
      <c r="H81" s="5"/>
      <c r="I81" s="6">
        <v>180</v>
      </c>
      <c r="J81" s="6">
        <v>115</v>
      </c>
      <c r="K81" s="6">
        <f>10+55*0.7</f>
        <v>48.5</v>
      </c>
      <c r="M81" s="41"/>
    </row>
    <row r="82" spans="1:13">
      <c r="A82" s="22" t="s">
        <v>104</v>
      </c>
      <c r="B82" s="4">
        <v>44159</v>
      </c>
      <c r="C82" s="4">
        <v>44187</v>
      </c>
      <c r="D82" s="40"/>
      <c r="E82" s="5">
        <v>13.93</v>
      </c>
      <c r="F82" s="5">
        <f>36/30*28</f>
        <v>33.6</v>
      </c>
      <c r="G82" s="5"/>
      <c r="H82" s="5"/>
      <c r="I82" s="6">
        <v>110</v>
      </c>
      <c r="J82" s="6">
        <f>25+11</f>
        <v>36</v>
      </c>
      <c r="K82" s="6">
        <f>(I82-J82)*0.7</f>
        <v>51.8</v>
      </c>
    </row>
    <row r="83" spans="1:13">
      <c r="A83" s="22" t="s">
        <v>108</v>
      </c>
      <c r="B83" s="4">
        <v>44185</v>
      </c>
      <c r="C83" s="4">
        <v>44242</v>
      </c>
      <c r="D83" s="40" t="s">
        <v>106</v>
      </c>
      <c r="E83" s="5">
        <v>26.48</v>
      </c>
      <c r="F83" s="5">
        <f>50/30*55</f>
        <v>91.666666666666671</v>
      </c>
      <c r="G83" s="5">
        <v>160</v>
      </c>
      <c r="H83" s="5"/>
      <c r="I83" s="6">
        <v>190</v>
      </c>
      <c r="J83" s="6">
        <v>61</v>
      </c>
      <c r="K83" s="6">
        <f>(20+109*0.7)</f>
        <v>96.3</v>
      </c>
    </row>
    <row r="84" spans="1:13">
      <c r="A84" s="22" t="s">
        <v>109</v>
      </c>
      <c r="B84" s="4">
        <v>44209</v>
      </c>
      <c r="C84" s="4">
        <v>44250</v>
      </c>
      <c r="D84" s="40" t="s">
        <v>106</v>
      </c>
      <c r="E84" s="5">
        <v>22.83</v>
      </c>
      <c r="F84" s="5">
        <f>100/30*40</f>
        <v>133.33333333333334</v>
      </c>
      <c r="G84" s="5">
        <v>125</v>
      </c>
      <c r="H84" s="5"/>
      <c r="I84" s="6">
        <v>210</v>
      </c>
      <c r="J84" s="6">
        <v>100</v>
      </c>
      <c r="K84" s="6">
        <f>(22.5+87.5*0.7)</f>
        <v>83.75</v>
      </c>
    </row>
    <row r="85" spans="1:13">
      <c r="A85" s="2" t="s">
        <v>112</v>
      </c>
      <c r="B85" s="4">
        <v>44270</v>
      </c>
      <c r="C85" s="4">
        <v>44286</v>
      </c>
      <c r="D85" s="40" t="s">
        <v>106</v>
      </c>
      <c r="E85" s="5">
        <v>31.96</v>
      </c>
      <c r="F85" s="5">
        <f>55/30*16</f>
        <v>29.333333333333332</v>
      </c>
      <c r="G85" s="5">
        <v>75</v>
      </c>
      <c r="H85" s="5"/>
      <c r="I85" s="6">
        <v>100</v>
      </c>
      <c r="J85" s="6">
        <v>55</v>
      </c>
      <c r="K85" s="6">
        <f>(17.5+27.5*0.7)</f>
        <v>36.75</v>
      </c>
    </row>
    <row r="86" spans="1:13">
      <c r="A86" s="2" t="s">
        <v>113</v>
      </c>
      <c r="B86" s="4">
        <v>44245</v>
      </c>
      <c r="C86" s="4">
        <v>44271</v>
      </c>
      <c r="D86" s="40" t="s">
        <v>106</v>
      </c>
      <c r="E86" s="5">
        <v>26.76</v>
      </c>
      <c r="F86" s="5">
        <f>67/30*28</f>
        <v>62.533333333333331</v>
      </c>
      <c r="G86" s="5"/>
      <c r="H86" s="5"/>
      <c r="I86" s="6">
        <v>140</v>
      </c>
      <c r="J86" s="6">
        <v>67</v>
      </c>
      <c r="K86" s="6">
        <f>(15+0.7*58)</f>
        <v>55.599999999999994</v>
      </c>
    </row>
    <row r="87" spans="1:13">
      <c r="A87" s="2" t="s">
        <v>114</v>
      </c>
      <c r="B87" s="4">
        <v>44222</v>
      </c>
      <c r="C87" s="4">
        <v>44279</v>
      </c>
      <c r="D87" s="40" t="s">
        <v>106</v>
      </c>
      <c r="E87" s="5">
        <v>13.4</v>
      </c>
      <c r="F87" s="5">
        <f>56/30*58</f>
        <v>108.26666666666667</v>
      </c>
      <c r="G87" s="5">
        <v>100</v>
      </c>
      <c r="H87" s="5"/>
      <c r="I87" s="6">
        <v>140</v>
      </c>
      <c r="J87" s="6">
        <v>56</v>
      </c>
      <c r="K87" s="6">
        <f>(12.5+71.5*0.7)/30*6</f>
        <v>12.51</v>
      </c>
    </row>
    <row r="88" spans="1:13">
      <c r="A88" s="22" t="s">
        <v>120</v>
      </c>
      <c r="B88" s="4">
        <v>44169</v>
      </c>
      <c r="C88" s="4">
        <v>44208</v>
      </c>
      <c r="D88" s="40" t="s">
        <v>106</v>
      </c>
      <c r="E88" s="5"/>
      <c r="F88" s="5">
        <f>41/30*38</f>
        <v>51.933333333333337</v>
      </c>
      <c r="G88" s="5"/>
      <c r="H88" s="5"/>
      <c r="I88" s="6">
        <v>70</v>
      </c>
      <c r="J88" s="6">
        <v>45</v>
      </c>
      <c r="K88" s="6">
        <f>10+10*0.7</f>
        <v>17</v>
      </c>
    </row>
    <row r="89" spans="1:13">
      <c r="A89" s="2" t="s">
        <v>119</v>
      </c>
      <c r="B89" s="4">
        <v>44281</v>
      </c>
      <c r="C89" s="4">
        <v>44316</v>
      </c>
      <c r="D89" s="40"/>
      <c r="E89" s="5">
        <v>14.26</v>
      </c>
      <c r="F89" s="5">
        <f>45/30*34</f>
        <v>51</v>
      </c>
      <c r="G89" s="5"/>
      <c r="H89" s="5"/>
      <c r="I89" s="6">
        <v>110</v>
      </c>
      <c r="J89" s="6">
        <v>45</v>
      </c>
      <c r="K89" s="6">
        <f>(65*0.7)</f>
        <v>45.5</v>
      </c>
    </row>
    <row r="90" spans="1:13">
      <c r="A90" s="22" t="s">
        <v>121</v>
      </c>
      <c r="B90" s="4">
        <v>44316</v>
      </c>
      <c r="C90" s="4">
        <v>44354</v>
      </c>
      <c r="D90" s="40"/>
      <c r="E90" s="5">
        <v>15.15</v>
      </c>
      <c r="F90" s="5">
        <f>36/30*37</f>
        <v>44.4</v>
      </c>
      <c r="G90" s="5"/>
      <c r="H90" s="5"/>
      <c r="I90" s="6">
        <v>110</v>
      </c>
      <c r="J90" s="6">
        <v>36</v>
      </c>
      <c r="K90" s="6">
        <f>(I90-J90)</f>
        <v>74</v>
      </c>
    </row>
    <row r="91" spans="1:13">
      <c r="A91" s="22" t="s">
        <v>126</v>
      </c>
      <c r="B91" s="4">
        <v>44336</v>
      </c>
      <c r="C91" s="4">
        <v>44370</v>
      </c>
      <c r="D91" s="40" t="s">
        <v>106</v>
      </c>
      <c r="E91" s="5">
        <v>35.78</v>
      </c>
      <c r="F91" s="5">
        <f>58/30*33</f>
        <v>63.8</v>
      </c>
      <c r="G91" s="5">
        <v>50</v>
      </c>
      <c r="H91" s="5"/>
      <c r="I91" s="6">
        <v>150</v>
      </c>
      <c r="J91" s="6">
        <v>58</v>
      </c>
      <c r="K91" s="6">
        <f>(17.5+74.5*0.7)</f>
        <v>69.650000000000006</v>
      </c>
    </row>
    <row r="92" spans="1:13">
      <c r="A92" s="22" t="s">
        <v>125</v>
      </c>
      <c r="B92" s="4">
        <v>44342</v>
      </c>
      <c r="C92" s="4">
        <v>44386</v>
      </c>
      <c r="D92" s="40" t="s">
        <v>106</v>
      </c>
      <c r="E92" s="5">
        <v>15.46</v>
      </c>
      <c r="F92" s="5">
        <f>36/30*43</f>
        <v>51.6</v>
      </c>
      <c r="G92" s="5">
        <f>50+45</f>
        <v>95</v>
      </c>
      <c r="H92" s="5"/>
      <c r="I92" s="6">
        <v>110</v>
      </c>
      <c r="J92" s="6">
        <v>36</v>
      </c>
      <c r="K92" s="6">
        <f>(12.5+(97.5-36)*0.7)</f>
        <v>55.55</v>
      </c>
    </row>
    <row r="93" spans="1:13">
      <c r="A93" s="22" t="s">
        <v>129</v>
      </c>
      <c r="B93" s="4">
        <v>44348</v>
      </c>
      <c r="C93" s="4">
        <v>44389</v>
      </c>
      <c r="D93" s="40" t="s">
        <v>106</v>
      </c>
      <c r="E93" s="5">
        <v>26.22</v>
      </c>
      <c r="F93" s="5">
        <f>71/30*42</f>
        <v>99.4</v>
      </c>
      <c r="G93" s="5">
        <f>50+45</f>
        <v>95</v>
      </c>
      <c r="H93" s="5"/>
      <c r="I93" s="6">
        <v>140</v>
      </c>
      <c r="J93" s="6">
        <v>71</v>
      </c>
      <c r="K93" s="6">
        <f>(12.5+(127.5-71)*0.7)</f>
        <v>52.05</v>
      </c>
    </row>
    <row r="94" spans="1:13">
      <c r="A94" s="22" t="s">
        <v>124</v>
      </c>
      <c r="B94" s="4">
        <v>44348</v>
      </c>
      <c r="C94" s="4">
        <v>44389</v>
      </c>
      <c r="D94" s="40"/>
      <c r="E94" s="5">
        <v>11.62</v>
      </c>
      <c r="F94" s="5">
        <f>26/30*42</f>
        <v>36.4</v>
      </c>
      <c r="G94" s="5">
        <v>65</v>
      </c>
      <c r="H94" s="5"/>
      <c r="I94" s="6">
        <v>70</v>
      </c>
      <c r="J94" s="6">
        <v>26</v>
      </c>
      <c r="K94" s="6">
        <f>(70-26)*0.7</f>
        <v>30.799999999999997</v>
      </c>
    </row>
    <row r="95" spans="1:13">
      <c r="A95" s="10" t="s">
        <v>133</v>
      </c>
      <c r="B95" s="11">
        <v>44432</v>
      </c>
      <c r="C95" s="11">
        <v>44467</v>
      </c>
      <c r="D95" s="40"/>
      <c r="E95" s="5">
        <v>9.8800000000000008</v>
      </c>
      <c r="F95" s="5">
        <f>25/30*34</f>
        <v>28.333333333333336</v>
      </c>
      <c r="G95" s="5"/>
      <c r="H95" s="5"/>
      <c r="I95" s="6">
        <v>70</v>
      </c>
      <c r="J95" s="6">
        <v>25</v>
      </c>
      <c r="K95" s="6">
        <f>45*0.7/30*2</f>
        <v>2.0999999999999996</v>
      </c>
    </row>
    <row r="96" spans="1:13">
      <c r="A96" s="10" t="s">
        <v>132</v>
      </c>
      <c r="B96" s="11">
        <v>44407</v>
      </c>
      <c r="C96" s="11">
        <v>44461</v>
      </c>
      <c r="D96" s="40"/>
      <c r="E96" s="5">
        <v>9.8800000000000008</v>
      </c>
      <c r="F96" s="5">
        <f>25/30*52</f>
        <v>43.333333333333336</v>
      </c>
      <c r="G96" s="5"/>
      <c r="H96" s="5"/>
      <c r="I96" s="6">
        <v>70</v>
      </c>
      <c r="J96" s="6">
        <v>25</v>
      </c>
      <c r="K96" s="6">
        <f>45*0.7/30*8</f>
        <v>8.3999999999999986</v>
      </c>
    </row>
    <row r="97" spans="1:11">
      <c r="A97" s="19"/>
      <c r="B97" s="15"/>
      <c r="C97" s="15"/>
      <c r="E97" s="34"/>
      <c r="J97" s="8" t="s">
        <v>4</v>
      </c>
      <c r="K97" s="8">
        <f>SUM(K2:K96)</f>
        <v>3068.4100000000008</v>
      </c>
    </row>
    <row r="98" spans="1:11">
      <c r="A98" s="28"/>
      <c r="C98" s="15"/>
      <c r="D98" s="1"/>
      <c r="E98" s="1"/>
      <c r="F98" s="1"/>
      <c r="G98" s="1"/>
      <c r="H98" s="1"/>
      <c r="I98" s="1"/>
      <c r="J98" s="29"/>
      <c r="K98" s="29"/>
    </row>
    <row r="99" spans="1:11">
      <c r="H99" t="s">
        <v>136</v>
      </c>
    </row>
    <row r="100" spans="1:11">
      <c r="E100" s="30"/>
      <c r="H100" t="s">
        <v>138</v>
      </c>
    </row>
    <row r="101" spans="1:11">
      <c r="F101" s="42"/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dimension ref="A1:M105"/>
  <sheetViews>
    <sheetView topLeftCell="A87" workbookViewId="0">
      <selection activeCell="E97" sqref="E97:G100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105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10" t="s">
        <v>13</v>
      </c>
      <c r="B5" s="11">
        <v>42102</v>
      </c>
      <c r="C5" s="11">
        <v>42136</v>
      </c>
      <c r="D5" s="12"/>
      <c r="E5" s="12"/>
      <c r="F5" s="12">
        <f>32/30*34</f>
        <v>36.266666666666666</v>
      </c>
      <c r="G5" s="12"/>
      <c r="H5" s="12"/>
      <c r="I5" s="12">
        <v>95</v>
      </c>
      <c r="J5" s="12">
        <v>32</v>
      </c>
      <c r="K5" s="12">
        <v>0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10" t="s">
        <v>38</v>
      </c>
      <c r="B26" s="11">
        <v>43081</v>
      </c>
      <c r="C26" s="11">
        <v>43103</v>
      </c>
      <c r="D26" s="12"/>
      <c r="E26" s="12">
        <v>6.83</v>
      </c>
      <c r="F26" s="12">
        <v>12.5</v>
      </c>
      <c r="G26" s="12"/>
      <c r="H26" s="12"/>
      <c r="I26" s="12">
        <v>50</v>
      </c>
      <c r="J26" s="12">
        <v>25</v>
      </c>
      <c r="K26" s="12">
        <v>0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10" t="s">
        <v>41</v>
      </c>
      <c r="B29" s="11">
        <v>43133</v>
      </c>
      <c r="C29" s="11">
        <v>43171</v>
      </c>
      <c r="D29" s="12"/>
      <c r="E29" s="12">
        <v>9.92</v>
      </c>
      <c r="F29" s="12">
        <f>25*1.33</f>
        <v>33.25</v>
      </c>
      <c r="G29" s="12"/>
      <c r="H29" s="12"/>
      <c r="I29" s="12">
        <v>85</v>
      </c>
      <c r="J29" s="33">
        <v>25</v>
      </c>
      <c r="K29" s="33">
        <v>0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3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3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3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3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3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3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3">
      <c r="A71" s="22" t="s">
        <v>90</v>
      </c>
      <c r="B71" s="35" t="s">
        <v>96</v>
      </c>
      <c r="C71" s="35">
        <v>40362</v>
      </c>
      <c r="D71" s="5" t="s">
        <v>106</v>
      </c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12.5+(62.5-J71)*0.7</f>
        <v>31.049999999999997</v>
      </c>
      <c r="M71" s="41"/>
    </row>
    <row r="72" spans="1:13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3">
      <c r="A73" s="22" t="s">
        <v>93</v>
      </c>
      <c r="B73" s="35">
        <v>44043</v>
      </c>
      <c r="C73" s="35">
        <v>44043</v>
      </c>
      <c r="D73" s="5" t="s">
        <v>106</v>
      </c>
      <c r="E73" s="5">
        <v>27.02</v>
      </c>
      <c r="F73" s="5">
        <v>0</v>
      </c>
      <c r="G73" s="5"/>
      <c r="H73" s="5"/>
      <c r="I73" s="6">
        <v>160</v>
      </c>
      <c r="J73" s="6">
        <f>45+22</f>
        <v>67</v>
      </c>
      <c r="K73" s="6">
        <f>15+78*0.7</f>
        <v>69.599999999999994</v>
      </c>
      <c r="M73" s="41"/>
    </row>
    <row r="74" spans="1:13">
      <c r="A74" s="22" t="s">
        <v>91</v>
      </c>
      <c r="B74" s="35">
        <v>44011</v>
      </c>
      <c r="C74" s="35">
        <v>44084</v>
      </c>
      <c r="D74" s="5"/>
      <c r="E74" s="5">
        <v>11.29</v>
      </c>
      <c r="F74" s="5">
        <f>25/30*71</f>
        <v>59.166666666666671</v>
      </c>
      <c r="G74" s="5"/>
      <c r="H74" s="5"/>
      <c r="I74" s="6">
        <v>40</v>
      </c>
      <c r="J74" s="6">
        <v>25</v>
      </c>
      <c r="K74" s="6">
        <f t="shared" ref="K74:K80" si="3">(I74-J74)*0.7</f>
        <v>10.5</v>
      </c>
    </row>
    <row r="75" spans="1:13">
      <c r="A75" s="22" t="s">
        <v>98</v>
      </c>
      <c r="B75" s="35">
        <v>44048</v>
      </c>
      <c r="C75" s="35">
        <v>44081</v>
      </c>
      <c r="D75" s="5" t="s">
        <v>106</v>
      </c>
      <c r="E75" s="5">
        <v>27.88</v>
      </c>
      <c r="F75" s="5">
        <f>58/30*32</f>
        <v>61.866666666666667</v>
      </c>
      <c r="G75" s="5">
        <v>125</v>
      </c>
      <c r="H75" s="5"/>
      <c r="I75" s="6">
        <v>140</v>
      </c>
      <c r="J75" s="6">
        <f>25+33</f>
        <v>58</v>
      </c>
      <c r="K75" s="6">
        <f>17.5+64.5*0.7</f>
        <v>62.65</v>
      </c>
      <c r="M75" s="41"/>
    </row>
    <row r="76" spans="1:13">
      <c r="A76" s="10" t="s">
        <v>92</v>
      </c>
      <c r="B76" s="11">
        <v>44012</v>
      </c>
      <c r="C76" s="11">
        <v>44096</v>
      </c>
      <c r="D76" s="12"/>
      <c r="E76" s="12">
        <v>11.4</v>
      </c>
      <c r="F76" s="12">
        <f>25/30*82</f>
        <v>68.333333333333343</v>
      </c>
      <c r="G76" s="12"/>
      <c r="H76" s="12"/>
      <c r="I76" s="12">
        <v>70</v>
      </c>
      <c r="J76" s="12">
        <v>25</v>
      </c>
      <c r="K76" s="12">
        <v>0</v>
      </c>
    </row>
    <row r="77" spans="1:13">
      <c r="A77" s="2" t="s">
        <v>99</v>
      </c>
      <c r="B77" s="35">
        <v>44084</v>
      </c>
      <c r="C77" s="35">
        <v>44105</v>
      </c>
      <c r="D77" s="5" t="s">
        <v>106</v>
      </c>
      <c r="E77" s="5">
        <v>12.24</v>
      </c>
      <c r="F77" s="5">
        <f>25/30*20</f>
        <v>16.666666666666668</v>
      </c>
      <c r="G77" s="5"/>
      <c r="H77" s="5"/>
      <c r="I77" s="43">
        <v>40</v>
      </c>
      <c r="J77" s="6">
        <v>22</v>
      </c>
      <c r="K77" s="6">
        <f>5+13*0.7</f>
        <v>14.1</v>
      </c>
      <c r="M77" s="41"/>
    </row>
    <row r="78" spans="1:13">
      <c r="A78" s="2" t="s">
        <v>94</v>
      </c>
      <c r="B78" s="35">
        <v>44124</v>
      </c>
      <c r="C78" s="35">
        <v>44124</v>
      </c>
      <c r="D78" s="5"/>
      <c r="E78" s="5">
        <v>7.25</v>
      </c>
      <c r="F78" s="5">
        <v>0</v>
      </c>
      <c r="G78" s="5"/>
      <c r="H78" s="5"/>
      <c r="I78" s="6">
        <v>25</v>
      </c>
      <c r="J78" s="6">
        <v>11</v>
      </c>
      <c r="K78" s="6">
        <f t="shared" si="3"/>
        <v>9.7999999999999989</v>
      </c>
    </row>
    <row r="79" spans="1:13">
      <c r="A79" s="2" t="s">
        <v>100</v>
      </c>
      <c r="B79" s="4">
        <v>44018</v>
      </c>
      <c r="C79" s="4">
        <v>44124</v>
      </c>
      <c r="D79" s="40"/>
      <c r="E79" s="5">
        <v>9.5</v>
      </c>
      <c r="F79" s="5">
        <f>25/30*104</f>
        <v>86.666666666666671</v>
      </c>
      <c r="G79" s="5"/>
      <c r="H79" s="5"/>
      <c r="I79" s="6">
        <v>70</v>
      </c>
      <c r="J79" s="6">
        <v>25</v>
      </c>
      <c r="K79" s="6">
        <f t="shared" si="3"/>
        <v>31.499999999999996</v>
      </c>
    </row>
    <row r="80" spans="1:13">
      <c r="A80" s="2" t="s">
        <v>101</v>
      </c>
      <c r="B80" s="4">
        <v>44070</v>
      </c>
      <c r="C80" s="4">
        <v>44131</v>
      </c>
      <c r="D80" s="40"/>
      <c r="E80" s="5">
        <v>13.93</v>
      </c>
      <c r="F80" s="5">
        <f>71/30*60</f>
        <v>142</v>
      </c>
      <c r="G80" s="5"/>
      <c r="H80" s="5"/>
      <c r="I80" s="6">
        <v>120</v>
      </c>
      <c r="J80" s="6">
        <f>60+11</f>
        <v>71</v>
      </c>
      <c r="K80" s="6">
        <f t="shared" si="3"/>
        <v>34.299999999999997</v>
      </c>
    </row>
    <row r="81" spans="1:13">
      <c r="A81" s="2" t="s">
        <v>102</v>
      </c>
      <c r="B81" s="4" t="s">
        <v>103</v>
      </c>
      <c r="C81" s="4">
        <v>44110</v>
      </c>
      <c r="D81" s="40" t="s">
        <v>106</v>
      </c>
      <c r="E81" s="5">
        <v>36.65</v>
      </c>
      <c r="F81" s="5">
        <f>115/30*26</f>
        <v>99.666666666666671</v>
      </c>
      <c r="G81" s="5"/>
      <c r="H81" s="5"/>
      <c r="I81" s="6">
        <v>180</v>
      </c>
      <c r="J81" s="6">
        <v>115</v>
      </c>
      <c r="K81" s="6">
        <f>10+55*0.7</f>
        <v>48.5</v>
      </c>
      <c r="M81" s="41"/>
    </row>
    <row r="82" spans="1:13">
      <c r="A82" s="22" t="s">
        <v>104</v>
      </c>
      <c r="B82" s="4">
        <v>44159</v>
      </c>
      <c r="C82" s="4">
        <v>44187</v>
      </c>
      <c r="D82" s="40"/>
      <c r="E82" s="5">
        <v>13.93</v>
      </c>
      <c r="F82" s="5">
        <f>36/30*28</f>
        <v>33.6</v>
      </c>
      <c r="G82" s="5"/>
      <c r="H82" s="5"/>
      <c r="I82" s="6">
        <v>110</v>
      </c>
      <c r="J82" s="6">
        <f>25+11</f>
        <v>36</v>
      </c>
      <c r="K82" s="6">
        <f>(I82-J82)*0.7</f>
        <v>51.8</v>
      </c>
    </row>
    <row r="83" spans="1:13">
      <c r="A83" s="22" t="s">
        <v>108</v>
      </c>
      <c r="B83" s="4">
        <v>44185</v>
      </c>
      <c r="C83" s="4">
        <v>44242</v>
      </c>
      <c r="D83" s="40" t="s">
        <v>106</v>
      </c>
      <c r="E83" s="5">
        <v>26.48</v>
      </c>
      <c r="F83" s="5">
        <f>50/30*55</f>
        <v>91.666666666666671</v>
      </c>
      <c r="G83" s="5">
        <v>160</v>
      </c>
      <c r="H83" s="5"/>
      <c r="I83" s="6">
        <v>190</v>
      </c>
      <c r="J83" s="6">
        <v>61</v>
      </c>
      <c r="K83" s="6">
        <f>(20+109*0.7)</f>
        <v>96.3</v>
      </c>
    </row>
    <row r="84" spans="1:13">
      <c r="A84" s="22" t="s">
        <v>109</v>
      </c>
      <c r="B84" s="4">
        <v>44209</v>
      </c>
      <c r="C84" s="4">
        <v>44250</v>
      </c>
      <c r="D84" s="40" t="s">
        <v>106</v>
      </c>
      <c r="E84" s="5">
        <v>22.83</v>
      </c>
      <c r="F84" s="5">
        <f>100/30*40</f>
        <v>133.33333333333334</v>
      </c>
      <c r="G84" s="5">
        <v>125</v>
      </c>
      <c r="H84" s="5"/>
      <c r="I84" s="6">
        <v>210</v>
      </c>
      <c r="J84" s="6">
        <v>100</v>
      </c>
      <c r="K84" s="6">
        <f>(22.5+87.5*0.7)</f>
        <v>83.75</v>
      </c>
    </row>
    <row r="85" spans="1:13">
      <c r="A85" s="2" t="s">
        <v>112</v>
      </c>
      <c r="B85" s="4">
        <v>44270</v>
      </c>
      <c r="C85" s="4">
        <v>44286</v>
      </c>
      <c r="D85" s="40" t="s">
        <v>106</v>
      </c>
      <c r="E85" s="5">
        <v>31.96</v>
      </c>
      <c r="F85" s="5">
        <f>55/30*16</f>
        <v>29.333333333333332</v>
      </c>
      <c r="G85" s="5">
        <v>75</v>
      </c>
      <c r="H85" s="5"/>
      <c r="I85" s="6">
        <v>100</v>
      </c>
      <c r="J85" s="6">
        <v>55</v>
      </c>
      <c r="K85" s="6">
        <f>(17.5+27.5*0.7)</f>
        <v>36.75</v>
      </c>
    </row>
    <row r="86" spans="1:13">
      <c r="A86" s="2" t="s">
        <v>113</v>
      </c>
      <c r="B86" s="4">
        <v>44245</v>
      </c>
      <c r="C86" s="4">
        <v>44271</v>
      </c>
      <c r="D86" s="40" t="s">
        <v>106</v>
      </c>
      <c r="E86" s="5">
        <v>26.76</v>
      </c>
      <c r="F86" s="5">
        <f>67/30*28</f>
        <v>62.533333333333331</v>
      </c>
      <c r="G86" s="5"/>
      <c r="H86" s="5"/>
      <c r="I86" s="6">
        <v>140</v>
      </c>
      <c r="J86" s="6">
        <v>67</v>
      </c>
      <c r="K86" s="6">
        <f>(15+0.7*58)</f>
        <v>55.599999999999994</v>
      </c>
    </row>
    <row r="87" spans="1:13">
      <c r="A87" s="2" t="s">
        <v>114</v>
      </c>
      <c r="B87" s="4">
        <v>44222</v>
      </c>
      <c r="C87" s="4">
        <v>44279</v>
      </c>
      <c r="D87" s="40" t="s">
        <v>106</v>
      </c>
      <c r="E87" s="5">
        <v>13.4</v>
      </c>
      <c r="F87" s="5">
        <f>56/30*58</f>
        <v>108.26666666666667</v>
      </c>
      <c r="G87" s="5">
        <v>100</v>
      </c>
      <c r="H87" s="5"/>
      <c r="I87" s="6">
        <v>140</v>
      </c>
      <c r="J87" s="6">
        <v>56</v>
      </c>
      <c r="K87" s="6">
        <f>(12.5+71.5*0.7)/30*6</f>
        <v>12.51</v>
      </c>
    </row>
    <row r="88" spans="1:13">
      <c r="A88" s="22" t="s">
        <v>120</v>
      </c>
      <c r="B88" s="4">
        <v>44169</v>
      </c>
      <c r="C88" s="4">
        <v>44208</v>
      </c>
      <c r="D88" s="40" t="s">
        <v>106</v>
      </c>
      <c r="E88" s="5"/>
      <c r="F88" s="5">
        <f>41/30*38</f>
        <v>51.933333333333337</v>
      </c>
      <c r="G88" s="5"/>
      <c r="H88" s="5"/>
      <c r="I88" s="6">
        <v>70</v>
      </c>
      <c r="J88" s="6">
        <v>45</v>
      </c>
      <c r="K88" s="6">
        <f>10+10*0.7</f>
        <v>17</v>
      </c>
    </row>
    <row r="89" spans="1:13">
      <c r="A89" s="2" t="s">
        <v>119</v>
      </c>
      <c r="B89" s="4">
        <v>44281</v>
      </c>
      <c r="C89" s="4">
        <v>44316</v>
      </c>
      <c r="D89" s="40"/>
      <c r="E89" s="5">
        <v>14.26</v>
      </c>
      <c r="F89" s="5">
        <f>45/30*34</f>
        <v>51</v>
      </c>
      <c r="G89" s="5"/>
      <c r="H89" s="5"/>
      <c r="I89" s="6">
        <v>110</v>
      </c>
      <c r="J89" s="6">
        <v>45</v>
      </c>
      <c r="K89" s="6">
        <f>(65*0.7)</f>
        <v>45.5</v>
      </c>
    </row>
    <row r="90" spans="1:13">
      <c r="A90" s="22" t="s">
        <v>121</v>
      </c>
      <c r="B90" s="4">
        <v>44316</v>
      </c>
      <c r="C90" s="4">
        <v>44354</v>
      </c>
      <c r="D90" s="40"/>
      <c r="E90" s="5">
        <v>15.15</v>
      </c>
      <c r="F90" s="5">
        <f>36/30*37</f>
        <v>44.4</v>
      </c>
      <c r="G90" s="5"/>
      <c r="H90" s="5"/>
      <c r="I90" s="6">
        <v>110</v>
      </c>
      <c r="J90" s="6">
        <v>36</v>
      </c>
      <c r="K90" s="6">
        <f>(I90-J90)</f>
        <v>74</v>
      </c>
    </row>
    <row r="91" spans="1:13">
      <c r="A91" s="22" t="s">
        <v>126</v>
      </c>
      <c r="B91" s="4">
        <v>44336</v>
      </c>
      <c r="C91" s="4">
        <v>44370</v>
      </c>
      <c r="D91" s="40" t="s">
        <v>106</v>
      </c>
      <c r="E91" s="5">
        <v>35.78</v>
      </c>
      <c r="F91" s="5">
        <f>58/30*33</f>
        <v>63.8</v>
      </c>
      <c r="G91" s="5">
        <v>50</v>
      </c>
      <c r="H91" s="5"/>
      <c r="I91" s="6">
        <v>150</v>
      </c>
      <c r="J91" s="6">
        <v>58</v>
      </c>
      <c r="K91" s="6">
        <f>(17.5+74.5*0.7)</f>
        <v>69.650000000000006</v>
      </c>
    </row>
    <row r="92" spans="1:13">
      <c r="A92" s="22" t="s">
        <v>125</v>
      </c>
      <c r="B92" s="4">
        <v>44342</v>
      </c>
      <c r="C92" s="4">
        <v>44386</v>
      </c>
      <c r="D92" s="40" t="s">
        <v>106</v>
      </c>
      <c r="E92" s="5">
        <v>15.46</v>
      </c>
      <c r="F92" s="5">
        <f>36/30*43</f>
        <v>51.6</v>
      </c>
      <c r="G92" s="5">
        <f>50+45</f>
        <v>95</v>
      </c>
      <c r="H92" s="5"/>
      <c r="I92" s="6">
        <v>110</v>
      </c>
      <c r="J92" s="6">
        <v>36</v>
      </c>
      <c r="K92" s="6">
        <f>(12.5+(97.5-36)*0.7)</f>
        <v>55.55</v>
      </c>
    </row>
    <row r="93" spans="1:13">
      <c r="A93" s="22" t="s">
        <v>129</v>
      </c>
      <c r="B93" s="4">
        <v>44348</v>
      </c>
      <c r="C93" s="4">
        <v>44389</v>
      </c>
      <c r="D93" s="40" t="s">
        <v>106</v>
      </c>
      <c r="E93" s="5">
        <v>26.22</v>
      </c>
      <c r="F93" s="5">
        <f>71/30*42</f>
        <v>99.4</v>
      </c>
      <c r="G93" s="5">
        <f>50+45</f>
        <v>95</v>
      </c>
      <c r="H93" s="5"/>
      <c r="I93" s="6">
        <v>140</v>
      </c>
      <c r="J93" s="6">
        <v>71</v>
      </c>
      <c r="K93" s="6">
        <f>(12.5+(127.5-71)*0.7)</f>
        <v>52.05</v>
      </c>
    </row>
    <row r="94" spans="1:13">
      <c r="A94" s="22" t="s">
        <v>124</v>
      </c>
      <c r="B94" s="4">
        <v>44348</v>
      </c>
      <c r="C94" s="4">
        <v>44389</v>
      </c>
      <c r="D94" s="40"/>
      <c r="E94" s="5">
        <v>11.62</v>
      </c>
      <c r="F94" s="5">
        <f>26/30*42</f>
        <v>36.4</v>
      </c>
      <c r="G94" s="5">
        <v>65</v>
      </c>
      <c r="H94" s="5"/>
      <c r="I94" s="6">
        <v>70</v>
      </c>
      <c r="J94" s="6">
        <v>26</v>
      </c>
      <c r="K94" s="6">
        <f>(70-26)*0.7</f>
        <v>30.799999999999997</v>
      </c>
    </row>
    <row r="95" spans="1:13">
      <c r="A95" s="22" t="s">
        <v>133</v>
      </c>
      <c r="B95" s="4">
        <v>44432</v>
      </c>
      <c r="C95" s="4">
        <v>44467</v>
      </c>
      <c r="D95" s="40"/>
      <c r="E95" s="5">
        <v>9.8800000000000008</v>
      </c>
      <c r="F95" s="5">
        <f>25/30*34</f>
        <v>28.333333333333336</v>
      </c>
      <c r="G95" s="5"/>
      <c r="H95" s="5"/>
      <c r="I95" s="6">
        <v>70</v>
      </c>
      <c r="J95" s="6">
        <v>25</v>
      </c>
      <c r="K95" s="6">
        <f>45*0.7</f>
        <v>31.499999999999996</v>
      </c>
    </row>
    <row r="96" spans="1:13">
      <c r="A96" s="22" t="s">
        <v>132</v>
      </c>
      <c r="B96" s="4">
        <v>44407</v>
      </c>
      <c r="C96" s="4">
        <v>44461</v>
      </c>
      <c r="D96" s="40"/>
      <c r="E96" s="5">
        <v>9.8800000000000008</v>
      </c>
      <c r="F96" s="5">
        <f>25/30*52</f>
        <v>43.333333333333336</v>
      </c>
      <c r="G96" s="5"/>
      <c r="H96" s="5"/>
      <c r="I96" s="6">
        <v>70</v>
      </c>
      <c r="J96" s="6">
        <v>25</v>
      </c>
      <c r="K96" s="6">
        <f>45*0.7</f>
        <v>31.499999999999996</v>
      </c>
    </row>
    <row r="97" spans="1:11">
      <c r="A97" s="10" t="s">
        <v>135</v>
      </c>
      <c r="B97" s="11">
        <v>44460</v>
      </c>
      <c r="C97" s="11">
        <v>44475</v>
      </c>
      <c r="D97" s="10"/>
      <c r="E97" s="12">
        <v>19.760000000000002</v>
      </c>
      <c r="F97" s="12">
        <f>43/30*15</f>
        <v>21.5</v>
      </c>
      <c r="G97" s="12">
        <v>65</v>
      </c>
      <c r="H97" s="12"/>
      <c r="I97" s="12">
        <v>90</v>
      </c>
      <c r="J97" s="12">
        <v>43</v>
      </c>
      <c r="K97" s="12">
        <f>(I97-J97)*0.7/30*24</f>
        <v>26.32</v>
      </c>
    </row>
    <row r="98" spans="1:11">
      <c r="A98" s="10" t="s">
        <v>140</v>
      </c>
      <c r="B98" s="11">
        <v>44449</v>
      </c>
      <c r="C98" s="11">
        <v>44482</v>
      </c>
      <c r="D98" s="10" t="s">
        <v>106</v>
      </c>
      <c r="E98" s="12">
        <v>13.4</v>
      </c>
      <c r="F98" s="12">
        <f>60/30*33</f>
        <v>66</v>
      </c>
      <c r="G98" s="12">
        <v>80</v>
      </c>
      <c r="H98" s="12"/>
      <c r="I98" s="12">
        <v>120</v>
      </c>
      <c r="J98" s="12">
        <v>61</v>
      </c>
      <c r="K98" s="12">
        <f>(10+49*0.7)/30*17</f>
        <v>25.103333333333332</v>
      </c>
    </row>
    <row r="99" spans="1:11">
      <c r="A99" s="10" t="s">
        <v>141</v>
      </c>
      <c r="B99" s="11">
        <v>44459</v>
      </c>
      <c r="C99" s="11">
        <v>44481</v>
      </c>
      <c r="D99" s="10"/>
      <c r="E99" s="12">
        <v>15.15</v>
      </c>
      <c r="F99" s="12">
        <f>46/30*22</f>
        <v>33.733333333333334</v>
      </c>
      <c r="G99" s="12">
        <v>80</v>
      </c>
      <c r="H99" s="12"/>
      <c r="I99" s="12">
        <v>120</v>
      </c>
      <c r="J99" s="12">
        <v>46</v>
      </c>
      <c r="K99" s="12">
        <f>(120-46)*0.7/30*18</f>
        <v>31.08</v>
      </c>
    </row>
    <row r="100" spans="1:11">
      <c r="A100" s="10" t="s">
        <v>137</v>
      </c>
      <c r="B100" s="11">
        <v>44474</v>
      </c>
      <c r="C100" s="11">
        <v>44487</v>
      </c>
      <c r="D100" s="10"/>
      <c r="E100" s="12">
        <v>15.15</v>
      </c>
      <c r="F100" s="12">
        <f>71/30*13</f>
        <v>30.766666666666666</v>
      </c>
      <c r="G100" s="12">
        <v>95</v>
      </c>
      <c r="H100" s="12"/>
      <c r="I100" s="12">
        <v>140</v>
      </c>
      <c r="J100" s="12">
        <v>71</v>
      </c>
      <c r="K100" s="12">
        <f>(I100-J100)*0.7/30*12</f>
        <v>19.32</v>
      </c>
    </row>
    <row r="101" spans="1:11">
      <c r="A101" s="19"/>
      <c r="B101" s="15"/>
      <c r="C101" s="15"/>
      <c r="E101" s="34"/>
      <c r="J101" s="8" t="s">
        <v>4</v>
      </c>
      <c r="K101" s="8">
        <f>SUM(K2:K100)</f>
        <v>3180.7333333333345</v>
      </c>
    </row>
    <row r="102" spans="1:11">
      <c r="A102" s="28"/>
      <c r="C102" s="15"/>
      <c r="D102" s="1"/>
      <c r="E102" s="1"/>
      <c r="F102" s="1"/>
      <c r="G102" s="1"/>
      <c r="H102" s="1"/>
      <c r="I102" s="1"/>
      <c r="J102" s="29"/>
      <c r="K102" s="29"/>
    </row>
    <row r="103" spans="1:11">
      <c r="H103" t="s">
        <v>142</v>
      </c>
    </row>
    <row r="104" spans="1:11">
      <c r="E104" s="30"/>
    </row>
    <row r="105" spans="1:11">
      <c r="F105" s="42"/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dimension ref="A1:M106"/>
  <sheetViews>
    <sheetView topLeftCell="A88" workbookViewId="0">
      <selection activeCell="I91" sqref="I91"/>
    </sheetView>
  </sheetViews>
  <sheetFormatPr baseColWidth="10" defaultRowHeight="15"/>
  <cols>
    <col min="1" max="1" width="26.5703125" customWidth="1"/>
  </cols>
  <sheetData>
    <row r="1" spans="1:12" ht="60">
      <c r="A1" s="2"/>
      <c r="B1" s="3" t="s">
        <v>0</v>
      </c>
      <c r="C1" s="3" t="s">
        <v>1</v>
      </c>
      <c r="D1" s="3" t="s">
        <v>105</v>
      </c>
      <c r="E1" s="3" t="s">
        <v>3</v>
      </c>
      <c r="F1" s="3" t="s">
        <v>11</v>
      </c>
      <c r="G1" s="3" t="s">
        <v>36</v>
      </c>
      <c r="H1" s="3" t="s">
        <v>12</v>
      </c>
      <c r="I1" s="3" t="s">
        <v>5</v>
      </c>
      <c r="J1" s="3" t="s">
        <v>7</v>
      </c>
      <c r="K1" s="3" t="s">
        <v>8</v>
      </c>
      <c r="L1" s="14" t="s">
        <v>35</v>
      </c>
    </row>
    <row r="2" spans="1:12">
      <c r="A2" s="10" t="s">
        <v>6</v>
      </c>
      <c r="B2" s="11">
        <v>41782</v>
      </c>
      <c r="C2" s="11">
        <v>41806</v>
      </c>
      <c r="D2" s="12">
        <v>150</v>
      </c>
      <c r="E2" s="12">
        <v>30</v>
      </c>
      <c r="F2" s="12">
        <f>J2/30*23</f>
        <v>46.766666666666666</v>
      </c>
      <c r="G2" s="12">
        <v>-450</v>
      </c>
      <c r="H2" s="12">
        <f>D2+E2+G2+F2</f>
        <v>-223.23333333333335</v>
      </c>
      <c r="I2" s="12">
        <f>75+75</f>
        <v>150</v>
      </c>
      <c r="J2" s="12">
        <f>50+11</f>
        <v>61</v>
      </c>
      <c r="K2" s="12">
        <v>0</v>
      </c>
    </row>
    <row r="3" spans="1:12">
      <c r="A3" s="2" t="s">
        <v>9</v>
      </c>
      <c r="B3" s="4">
        <v>41871</v>
      </c>
      <c r="C3" s="4">
        <v>41892</v>
      </c>
      <c r="D3" s="5">
        <v>50</v>
      </c>
      <c r="E3" s="5">
        <v>20</v>
      </c>
      <c r="F3" s="5">
        <f>J3/30*10</f>
        <v>13.666666666666668</v>
      </c>
      <c r="G3" s="5">
        <v>-300</v>
      </c>
      <c r="H3" s="5">
        <f>D3+E3+G3+F3</f>
        <v>-216.33333333333334</v>
      </c>
      <c r="I3" s="6">
        <v>100</v>
      </c>
      <c r="J3" s="6">
        <v>41</v>
      </c>
      <c r="K3" s="6">
        <f t="shared" ref="K3:K30" si="0">(I3-J3)*0.7</f>
        <v>41.3</v>
      </c>
    </row>
    <row r="4" spans="1:12">
      <c r="A4" s="2" t="s">
        <v>10</v>
      </c>
      <c r="B4" s="4">
        <v>41852</v>
      </c>
      <c r="C4" s="2"/>
      <c r="D4" s="5"/>
      <c r="E4" s="5">
        <v>10</v>
      </c>
      <c r="F4" s="5"/>
      <c r="G4" s="5"/>
      <c r="H4" s="5">
        <f>D4+E4+G4</f>
        <v>10</v>
      </c>
      <c r="I4" s="6">
        <v>40</v>
      </c>
      <c r="J4" s="6">
        <v>25</v>
      </c>
      <c r="K4" s="6">
        <f t="shared" si="0"/>
        <v>10.5</v>
      </c>
    </row>
    <row r="5" spans="1:12">
      <c r="A5" s="10" t="s">
        <v>13</v>
      </c>
      <c r="B5" s="11">
        <v>42102</v>
      </c>
      <c r="C5" s="11">
        <v>42136</v>
      </c>
      <c r="D5" s="12"/>
      <c r="E5" s="12"/>
      <c r="F5" s="12">
        <f>32/30*34</f>
        <v>36.266666666666666</v>
      </c>
      <c r="G5" s="12"/>
      <c r="H5" s="12"/>
      <c r="I5" s="12">
        <v>95</v>
      </c>
      <c r="J5" s="12">
        <v>32</v>
      </c>
      <c r="K5" s="12">
        <v>0</v>
      </c>
    </row>
    <row r="6" spans="1:12">
      <c r="A6" s="10" t="s">
        <v>14</v>
      </c>
      <c r="B6" s="11">
        <v>42234</v>
      </c>
      <c r="C6" s="11">
        <v>42248</v>
      </c>
      <c r="D6" s="12"/>
      <c r="E6" s="12">
        <v>33.979999999999997</v>
      </c>
      <c r="F6" s="12">
        <f>44/30*12</f>
        <v>17.599999999999998</v>
      </c>
      <c r="G6" s="12"/>
      <c r="H6" s="12">
        <f>E6+F6</f>
        <v>51.58</v>
      </c>
      <c r="I6" s="12">
        <v>254</v>
      </c>
      <c r="J6" s="12">
        <v>44</v>
      </c>
      <c r="K6" s="12">
        <v>0</v>
      </c>
      <c r="L6">
        <v>124</v>
      </c>
    </row>
    <row r="7" spans="1:12">
      <c r="A7" s="2" t="s">
        <v>15</v>
      </c>
      <c r="B7" s="4">
        <v>42272</v>
      </c>
      <c r="C7" s="4">
        <v>42275</v>
      </c>
      <c r="D7" s="5">
        <v>50</v>
      </c>
      <c r="E7" s="5"/>
      <c r="F7" s="5">
        <f>25/30*3</f>
        <v>2.5</v>
      </c>
      <c r="G7" s="5"/>
      <c r="H7" s="5">
        <f>D7+E7+G7</f>
        <v>50</v>
      </c>
      <c r="I7" s="6">
        <v>40</v>
      </c>
      <c r="J7" s="6">
        <v>25</v>
      </c>
      <c r="K7" s="6">
        <f t="shared" si="0"/>
        <v>10.5</v>
      </c>
    </row>
    <row r="8" spans="1:12">
      <c r="A8" s="2" t="s">
        <v>17</v>
      </c>
      <c r="B8" s="4"/>
      <c r="C8" s="4">
        <v>42209</v>
      </c>
      <c r="D8" s="5"/>
      <c r="E8" s="5"/>
      <c r="F8" s="5"/>
      <c r="G8" s="5"/>
      <c r="H8" s="5"/>
      <c r="I8" s="6">
        <v>90</v>
      </c>
      <c r="J8" s="6">
        <v>25</v>
      </c>
      <c r="K8" s="6">
        <f t="shared" si="0"/>
        <v>45.5</v>
      </c>
    </row>
    <row r="9" spans="1:12">
      <c r="A9" s="2" t="s">
        <v>16</v>
      </c>
      <c r="B9" s="2"/>
      <c r="C9" s="4">
        <v>42396</v>
      </c>
      <c r="D9" s="5"/>
      <c r="E9" s="5"/>
      <c r="F9" s="5"/>
      <c r="G9" s="5"/>
      <c r="H9" s="5"/>
      <c r="I9" s="6">
        <v>90</v>
      </c>
      <c r="J9" s="6">
        <v>25</v>
      </c>
      <c r="K9" s="6">
        <f t="shared" si="0"/>
        <v>45.5</v>
      </c>
    </row>
    <row r="10" spans="1:12">
      <c r="A10" s="10" t="s">
        <v>19</v>
      </c>
      <c r="B10" s="11">
        <v>42459</v>
      </c>
      <c r="C10" s="13">
        <v>42471</v>
      </c>
      <c r="D10" s="12">
        <v>50</v>
      </c>
      <c r="E10" s="12"/>
      <c r="F10" s="12">
        <f>25/30*11</f>
        <v>9.1666666666666679</v>
      </c>
      <c r="G10" s="12">
        <f>145+80</f>
        <v>225</v>
      </c>
      <c r="H10" s="12"/>
      <c r="I10" s="12">
        <v>90</v>
      </c>
      <c r="J10" s="12">
        <v>27</v>
      </c>
      <c r="K10" s="12">
        <v>0</v>
      </c>
      <c r="L10">
        <v>80</v>
      </c>
    </row>
    <row r="11" spans="1:12">
      <c r="A11" s="2" t="s">
        <v>18</v>
      </c>
      <c r="B11" s="2"/>
      <c r="C11" s="4">
        <v>42335</v>
      </c>
      <c r="D11" s="5"/>
      <c r="E11" s="5"/>
      <c r="F11" s="5"/>
      <c r="G11" s="5"/>
      <c r="H11" s="5"/>
      <c r="I11" s="6">
        <v>90</v>
      </c>
      <c r="J11" s="6">
        <v>25</v>
      </c>
      <c r="K11" s="6">
        <f t="shared" si="0"/>
        <v>45.5</v>
      </c>
    </row>
    <row r="12" spans="1:12">
      <c r="A12" s="10" t="s">
        <v>20</v>
      </c>
      <c r="B12" s="32">
        <v>42473</v>
      </c>
      <c r="C12" s="11">
        <v>42499</v>
      </c>
      <c r="D12" s="12"/>
      <c r="E12" s="12"/>
      <c r="F12" s="12"/>
      <c r="G12" s="12"/>
      <c r="H12" s="12"/>
      <c r="I12" s="12">
        <v>40</v>
      </c>
      <c r="J12" s="12">
        <v>3</v>
      </c>
      <c r="K12" s="12">
        <v>0</v>
      </c>
    </row>
    <row r="13" spans="1:12">
      <c r="A13" s="10" t="s">
        <v>21</v>
      </c>
      <c r="B13" s="11">
        <v>42563</v>
      </c>
      <c r="C13" s="11">
        <v>42592</v>
      </c>
      <c r="D13" s="12"/>
      <c r="E13" s="12">
        <v>8.5</v>
      </c>
      <c r="F13" s="12">
        <f>25*28/30</f>
        <v>23.333333333333332</v>
      </c>
      <c r="G13" s="12"/>
      <c r="H13" s="12"/>
      <c r="I13" s="12">
        <v>130</v>
      </c>
      <c r="J13" s="12">
        <v>25</v>
      </c>
      <c r="K13" s="12">
        <v>0</v>
      </c>
    </row>
    <row r="14" spans="1:12">
      <c r="A14" s="2" t="s">
        <v>22</v>
      </c>
      <c r="B14" s="4">
        <v>42546</v>
      </c>
      <c r="C14" s="4">
        <v>42571</v>
      </c>
      <c r="D14" s="5"/>
      <c r="E14" s="5">
        <f>6.9+8.5</f>
        <v>15.4</v>
      </c>
      <c r="F14" s="5">
        <f>25*25/30</f>
        <v>20.833333333333332</v>
      </c>
      <c r="G14" s="5"/>
      <c r="H14" s="5"/>
      <c r="I14" s="6">
        <v>120</v>
      </c>
      <c r="J14" s="6">
        <v>25</v>
      </c>
      <c r="K14" s="6">
        <f t="shared" si="0"/>
        <v>66.5</v>
      </c>
    </row>
    <row r="15" spans="1:12">
      <c r="A15" s="2" t="s">
        <v>23</v>
      </c>
      <c r="B15" s="4">
        <v>42560</v>
      </c>
      <c r="C15" s="4">
        <v>42571</v>
      </c>
      <c r="D15" s="5"/>
      <c r="E15" s="5">
        <v>8.5</v>
      </c>
      <c r="F15" s="5">
        <f>25*41/30</f>
        <v>34.166666666666664</v>
      </c>
      <c r="G15" s="5"/>
      <c r="H15" s="5"/>
      <c r="I15" s="6">
        <v>107.5</v>
      </c>
      <c r="J15" s="6">
        <v>25</v>
      </c>
      <c r="K15" s="6">
        <f t="shared" si="0"/>
        <v>57.749999999999993</v>
      </c>
    </row>
    <row r="16" spans="1:12">
      <c r="A16" s="2" t="s">
        <v>24</v>
      </c>
      <c r="B16" s="4">
        <v>42530</v>
      </c>
      <c r="C16" s="4">
        <v>75450</v>
      </c>
      <c r="D16" s="5"/>
      <c r="E16" s="5">
        <f>8.5+6.9</f>
        <v>15.4</v>
      </c>
      <c r="F16" s="5">
        <f>25*52/30</f>
        <v>43.333333333333336</v>
      </c>
      <c r="G16" s="5"/>
      <c r="H16" s="5"/>
      <c r="I16" s="6">
        <v>90</v>
      </c>
      <c r="J16" s="6">
        <v>25</v>
      </c>
      <c r="K16" s="6">
        <f t="shared" si="0"/>
        <v>45.5</v>
      </c>
    </row>
    <row r="17" spans="1:11">
      <c r="A17" s="10" t="s">
        <v>25</v>
      </c>
      <c r="B17" s="11">
        <v>42538</v>
      </c>
      <c r="C17" s="11">
        <v>42555</v>
      </c>
      <c r="D17" s="12"/>
      <c r="E17" s="12"/>
      <c r="F17" s="12">
        <f>27/30*17</f>
        <v>15.3</v>
      </c>
      <c r="G17" s="12"/>
      <c r="H17" s="12"/>
      <c r="I17" s="12">
        <v>50</v>
      </c>
      <c r="J17" s="12">
        <v>27</v>
      </c>
      <c r="K17" s="12">
        <v>0</v>
      </c>
    </row>
    <row r="18" spans="1:11">
      <c r="A18" s="2" t="s">
        <v>26</v>
      </c>
      <c r="B18" s="4">
        <v>42633</v>
      </c>
      <c r="C18" s="4">
        <v>42644</v>
      </c>
      <c r="D18" s="5"/>
      <c r="E18" s="5">
        <v>8.17</v>
      </c>
      <c r="F18" s="5">
        <f>25/30*10</f>
        <v>8.3333333333333339</v>
      </c>
      <c r="G18" s="5"/>
      <c r="H18" s="5"/>
      <c r="I18" s="6">
        <v>70</v>
      </c>
      <c r="J18" s="6">
        <v>25</v>
      </c>
      <c r="K18" s="6">
        <f t="shared" si="0"/>
        <v>31.499999999999996</v>
      </c>
    </row>
    <row r="19" spans="1:11">
      <c r="A19" s="2" t="s">
        <v>27</v>
      </c>
      <c r="B19" s="4">
        <v>42656</v>
      </c>
      <c r="C19" s="4">
        <v>42705</v>
      </c>
      <c r="D19" s="5"/>
      <c r="E19" s="5">
        <v>8.17</v>
      </c>
      <c r="F19" s="5">
        <f>J19/30*47</f>
        <v>39.166666666666671</v>
      </c>
      <c r="G19" s="5"/>
      <c r="H19" s="5"/>
      <c r="I19" s="6">
        <v>40</v>
      </c>
      <c r="J19" s="6">
        <v>25</v>
      </c>
      <c r="K19" s="6">
        <f t="shared" si="0"/>
        <v>10.5</v>
      </c>
    </row>
    <row r="20" spans="1:11">
      <c r="A20" s="2" t="s">
        <v>28</v>
      </c>
      <c r="B20" s="4">
        <v>42711</v>
      </c>
      <c r="C20" s="4">
        <v>42734</v>
      </c>
      <c r="D20" s="5"/>
      <c r="E20" s="5">
        <v>8.17</v>
      </c>
      <c r="F20" s="5">
        <f>J20/30*23</f>
        <v>19.166666666666668</v>
      </c>
      <c r="G20" s="5"/>
      <c r="H20" s="5"/>
      <c r="I20" s="6">
        <v>40</v>
      </c>
      <c r="J20" s="6">
        <v>25</v>
      </c>
      <c r="K20" s="6">
        <f t="shared" si="0"/>
        <v>10.5</v>
      </c>
    </row>
    <row r="21" spans="1:11">
      <c r="A21" s="2" t="s">
        <v>29</v>
      </c>
      <c r="B21" s="4">
        <v>42683</v>
      </c>
      <c r="C21" s="4">
        <v>42718</v>
      </c>
      <c r="D21" s="5"/>
      <c r="E21" s="5">
        <v>8.9700000000000006</v>
      </c>
      <c r="F21" s="5">
        <f>J21/30*35</f>
        <v>42</v>
      </c>
      <c r="G21" s="5"/>
      <c r="H21" s="5"/>
      <c r="I21" s="6">
        <f>105</f>
        <v>105</v>
      </c>
      <c r="J21" s="6">
        <v>36</v>
      </c>
      <c r="K21" s="6">
        <f t="shared" si="0"/>
        <v>48.3</v>
      </c>
    </row>
    <row r="22" spans="1:11">
      <c r="A22" s="2" t="s">
        <v>30</v>
      </c>
      <c r="B22" s="4">
        <v>42732</v>
      </c>
      <c r="C22" s="4">
        <v>42759</v>
      </c>
      <c r="D22" s="5"/>
      <c r="E22" s="5">
        <v>18.8</v>
      </c>
      <c r="F22" s="5">
        <f>J22/30*27</f>
        <v>23.400000000000002</v>
      </c>
      <c r="G22" s="5"/>
      <c r="H22" s="5"/>
      <c r="I22" s="6">
        <v>90</v>
      </c>
      <c r="J22" s="6">
        <v>26</v>
      </c>
      <c r="K22" s="6">
        <f t="shared" si="0"/>
        <v>44.8</v>
      </c>
    </row>
    <row r="23" spans="1:11">
      <c r="A23" s="9" t="s">
        <v>31</v>
      </c>
      <c r="B23" s="4">
        <v>42735</v>
      </c>
      <c r="C23" s="4">
        <v>42782</v>
      </c>
      <c r="D23" s="5">
        <v>50</v>
      </c>
      <c r="E23" s="5">
        <v>20.63</v>
      </c>
      <c r="F23" s="5">
        <f>J23/30*46</f>
        <v>42.933333333333337</v>
      </c>
      <c r="G23" s="5"/>
      <c r="H23" s="5"/>
      <c r="I23" s="6">
        <v>92</v>
      </c>
      <c r="J23" s="6">
        <v>28</v>
      </c>
      <c r="K23" s="6">
        <f t="shared" si="0"/>
        <v>44.8</v>
      </c>
    </row>
    <row r="24" spans="1:11">
      <c r="A24" s="2" t="s">
        <v>32</v>
      </c>
      <c r="B24" s="4">
        <v>42857</v>
      </c>
      <c r="C24" s="4">
        <v>42866</v>
      </c>
      <c r="D24" s="5"/>
      <c r="E24" s="5"/>
      <c r="F24" s="5">
        <f>23/30*9</f>
        <v>6.9</v>
      </c>
      <c r="G24" s="5">
        <f>60*0.7</f>
        <v>42</v>
      </c>
      <c r="H24" s="5"/>
      <c r="I24" s="6">
        <v>60</v>
      </c>
      <c r="J24" s="6">
        <v>23</v>
      </c>
      <c r="K24" s="6">
        <f t="shared" si="0"/>
        <v>25.9</v>
      </c>
    </row>
    <row r="25" spans="1:11">
      <c r="A25" s="2" t="s">
        <v>37</v>
      </c>
      <c r="B25" s="4">
        <v>42891</v>
      </c>
      <c r="C25" s="4">
        <v>42915</v>
      </c>
      <c r="D25" s="5"/>
      <c r="E25" s="5">
        <v>6.83</v>
      </c>
      <c r="F25" s="5">
        <f>24/30*24</f>
        <v>19.200000000000003</v>
      </c>
      <c r="G25" s="5"/>
      <c r="H25" s="5"/>
      <c r="I25" s="6">
        <v>70</v>
      </c>
      <c r="J25" s="6">
        <v>24</v>
      </c>
      <c r="K25" s="6">
        <f t="shared" si="0"/>
        <v>32.199999999999996</v>
      </c>
    </row>
    <row r="26" spans="1:11">
      <c r="A26" s="10" t="s">
        <v>38</v>
      </c>
      <c r="B26" s="11">
        <v>43081</v>
      </c>
      <c r="C26" s="11">
        <v>43103</v>
      </c>
      <c r="D26" s="12"/>
      <c r="E26" s="12">
        <v>6.83</v>
      </c>
      <c r="F26" s="12">
        <v>12.5</v>
      </c>
      <c r="G26" s="12"/>
      <c r="H26" s="12"/>
      <c r="I26" s="12">
        <v>50</v>
      </c>
      <c r="J26" s="12">
        <v>25</v>
      </c>
      <c r="K26" s="12">
        <v>0</v>
      </c>
    </row>
    <row r="27" spans="1:11">
      <c r="A27" s="2" t="s">
        <v>39</v>
      </c>
      <c r="B27" s="4">
        <v>43081</v>
      </c>
      <c r="C27" s="4">
        <v>43109</v>
      </c>
      <c r="D27" s="5"/>
      <c r="E27" s="5">
        <v>9.83</v>
      </c>
      <c r="F27" s="5">
        <f>36/30*28</f>
        <v>33.6</v>
      </c>
      <c r="G27" s="5"/>
      <c r="H27" s="5"/>
      <c r="I27" s="6">
        <v>120</v>
      </c>
      <c r="J27" s="6">
        <v>36</v>
      </c>
      <c r="K27" s="6">
        <f t="shared" si="0"/>
        <v>58.8</v>
      </c>
    </row>
    <row r="28" spans="1:11">
      <c r="A28" s="2" t="s">
        <v>40</v>
      </c>
      <c r="B28" s="4">
        <v>43106</v>
      </c>
      <c r="C28" s="4">
        <v>43146</v>
      </c>
      <c r="D28" s="5"/>
      <c r="E28" s="5">
        <v>8.2899999999999991</v>
      </c>
      <c r="F28" s="5">
        <f>25/30*39</f>
        <v>32.5</v>
      </c>
      <c r="G28" s="5"/>
      <c r="H28" s="5"/>
      <c r="I28" s="6">
        <v>70</v>
      </c>
      <c r="J28" s="6">
        <v>26</v>
      </c>
      <c r="K28" s="6">
        <f t="shared" si="0"/>
        <v>30.799999999999997</v>
      </c>
    </row>
    <row r="29" spans="1:11">
      <c r="A29" s="10" t="s">
        <v>41</v>
      </c>
      <c r="B29" s="11">
        <v>43133</v>
      </c>
      <c r="C29" s="11">
        <v>43171</v>
      </c>
      <c r="D29" s="12"/>
      <c r="E29" s="12">
        <v>9.92</v>
      </c>
      <c r="F29" s="12">
        <f>25*1.33</f>
        <v>33.25</v>
      </c>
      <c r="G29" s="12"/>
      <c r="H29" s="12"/>
      <c r="I29" s="12">
        <v>85</v>
      </c>
      <c r="J29" s="33">
        <v>25</v>
      </c>
      <c r="K29" s="33">
        <v>0</v>
      </c>
    </row>
    <row r="30" spans="1:11">
      <c r="A30" s="2" t="s">
        <v>42</v>
      </c>
      <c r="B30" s="4">
        <v>43162</v>
      </c>
      <c r="C30" s="4">
        <v>43189</v>
      </c>
      <c r="D30" s="5"/>
      <c r="E30" s="5">
        <v>9.92</v>
      </c>
      <c r="F30" s="5">
        <f>25/30*27</f>
        <v>22.5</v>
      </c>
      <c r="G30" s="5"/>
      <c r="H30" s="5"/>
      <c r="I30" s="6">
        <v>80</v>
      </c>
      <c r="J30" s="18">
        <v>26</v>
      </c>
      <c r="K30" s="18">
        <f t="shared" si="0"/>
        <v>37.799999999999997</v>
      </c>
    </row>
    <row r="31" spans="1:11">
      <c r="A31" s="10" t="s">
        <v>43</v>
      </c>
      <c r="B31" s="11">
        <v>43168</v>
      </c>
      <c r="C31" s="11">
        <v>43237</v>
      </c>
      <c r="D31" s="12"/>
      <c r="E31" s="12">
        <f>19.84+8.29+8.29</f>
        <v>36.42</v>
      </c>
      <c r="F31" s="12">
        <f>59/30*67</f>
        <v>131.76666666666665</v>
      </c>
      <c r="G31" s="12"/>
      <c r="H31" s="12"/>
      <c r="I31" s="12">
        <v>145</v>
      </c>
      <c r="J31" s="33">
        <v>79</v>
      </c>
      <c r="K31" s="33">
        <v>0</v>
      </c>
    </row>
    <row r="32" spans="1:11">
      <c r="A32" s="2" t="s">
        <v>44</v>
      </c>
      <c r="B32" s="4">
        <v>43196</v>
      </c>
      <c r="C32" s="4">
        <v>43250</v>
      </c>
      <c r="D32" s="5"/>
      <c r="E32" s="5">
        <v>13.78</v>
      </c>
      <c r="F32" s="5">
        <f>25*24/30+25</f>
        <v>45</v>
      </c>
      <c r="G32" s="5"/>
      <c r="H32" s="5"/>
      <c r="I32" s="6">
        <f>60</f>
        <v>60</v>
      </c>
      <c r="J32" s="18">
        <v>25</v>
      </c>
      <c r="K32" s="18">
        <f>(I32-J32)*0.7</f>
        <v>24.5</v>
      </c>
    </row>
    <row r="33" spans="1:12">
      <c r="A33" s="2" t="s">
        <v>45</v>
      </c>
      <c r="B33" s="4"/>
      <c r="C33" s="4">
        <v>43286</v>
      </c>
      <c r="D33" s="5"/>
      <c r="E33" s="5">
        <v>11.56</v>
      </c>
      <c r="F33" s="5"/>
      <c r="G33" s="5"/>
      <c r="H33" s="5"/>
      <c r="I33" s="6">
        <v>150</v>
      </c>
      <c r="J33" s="6">
        <v>76</v>
      </c>
      <c r="K33" s="6">
        <f>(I33-J33)*0.7</f>
        <v>51.8</v>
      </c>
      <c r="L33" s="20"/>
    </row>
    <row r="34" spans="1:12">
      <c r="A34" s="10" t="s">
        <v>46</v>
      </c>
      <c r="B34" s="11">
        <v>43266</v>
      </c>
      <c r="C34" s="11">
        <v>43235</v>
      </c>
      <c r="D34" s="12"/>
      <c r="E34" s="12">
        <v>16.579999999999998</v>
      </c>
      <c r="F34" s="12">
        <v>25</v>
      </c>
      <c r="G34" s="12"/>
      <c r="H34" s="12"/>
      <c r="I34" s="12">
        <v>112</v>
      </c>
      <c r="J34" s="12">
        <v>42</v>
      </c>
      <c r="K34" s="12">
        <v>0</v>
      </c>
    </row>
    <row r="35" spans="1:12">
      <c r="A35" s="22" t="s">
        <v>47</v>
      </c>
      <c r="B35" s="4">
        <v>43355</v>
      </c>
      <c r="C35" s="4">
        <v>43277</v>
      </c>
      <c r="D35" s="5"/>
      <c r="E35" s="5">
        <v>19.98</v>
      </c>
      <c r="F35" s="5">
        <f>36*2+36/30*16</f>
        <v>91.2</v>
      </c>
      <c r="G35" s="5"/>
      <c r="H35" s="5"/>
      <c r="I35" s="6">
        <v>105</v>
      </c>
      <c r="J35" s="6">
        <v>36</v>
      </c>
      <c r="K35" s="6">
        <f t="shared" ref="K35:K44" si="1">(I35-J35)*0.7</f>
        <v>48.3</v>
      </c>
    </row>
    <row r="36" spans="1:12">
      <c r="A36" s="22" t="s">
        <v>48</v>
      </c>
      <c r="B36" s="4">
        <v>43367</v>
      </c>
      <c r="C36" s="4">
        <v>43284</v>
      </c>
      <c r="D36" s="5"/>
      <c r="E36" s="5">
        <v>9.1</v>
      </c>
      <c r="F36" s="5">
        <f>25+25/30*27</f>
        <v>47.5</v>
      </c>
      <c r="G36" s="5"/>
      <c r="H36" s="5"/>
      <c r="I36" s="6">
        <v>75</v>
      </c>
      <c r="J36" s="6">
        <v>25</v>
      </c>
      <c r="K36" s="6">
        <f t="shared" si="1"/>
        <v>35</v>
      </c>
    </row>
    <row r="37" spans="1:12">
      <c r="A37" s="22" t="s">
        <v>49</v>
      </c>
      <c r="B37" s="4">
        <v>43367</v>
      </c>
      <c r="C37" s="4">
        <v>43291</v>
      </c>
      <c r="D37" s="5"/>
      <c r="E37" s="5">
        <v>10.039999999999999</v>
      </c>
      <c r="F37" s="5">
        <f>50+25/30*14</f>
        <v>61.666666666666671</v>
      </c>
      <c r="G37" s="5"/>
      <c r="H37" s="5"/>
      <c r="I37" s="6">
        <v>70</v>
      </c>
      <c r="J37" s="6">
        <v>25</v>
      </c>
      <c r="K37" s="6">
        <f t="shared" si="1"/>
        <v>31.499999999999996</v>
      </c>
    </row>
    <row r="38" spans="1:12">
      <c r="A38" s="22" t="s">
        <v>50</v>
      </c>
      <c r="B38" s="4">
        <v>43367</v>
      </c>
      <c r="C38" s="4">
        <v>43312</v>
      </c>
      <c r="D38" s="5"/>
      <c r="E38" s="5">
        <v>10.86</v>
      </c>
      <c r="F38" s="5">
        <f>25+25/30*24</f>
        <v>45</v>
      </c>
      <c r="G38" s="5"/>
      <c r="H38" s="5"/>
      <c r="I38" s="6">
        <v>70</v>
      </c>
      <c r="J38" s="6">
        <v>25</v>
      </c>
      <c r="K38" s="6">
        <f t="shared" si="1"/>
        <v>31.499999999999996</v>
      </c>
    </row>
    <row r="39" spans="1:12">
      <c r="A39" s="22" t="s">
        <v>51</v>
      </c>
      <c r="B39" s="4">
        <v>43358</v>
      </c>
      <c r="C39" s="4">
        <v>43291</v>
      </c>
      <c r="D39" s="5"/>
      <c r="E39" s="5">
        <v>10.039999999999999</v>
      </c>
      <c r="F39" s="5">
        <f>50+25/30*5</f>
        <v>54.166666666666664</v>
      </c>
      <c r="G39" s="5"/>
      <c r="H39" s="5"/>
      <c r="I39" s="6">
        <v>75</v>
      </c>
      <c r="J39" s="6">
        <v>25</v>
      </c>
      <c r="K39" s="6">
        <f t="shared" si="1"/>
        <v>35</v>
      </c>
    </row>
    <row r="40" spans="1:12">
      <c r="A40" s="22" t="s">
        <v>52</v>
      </c>
      <c r="B40" s="4">
        <v>43367</v>
      </c>
      <c r="C40" s="4">
        <v>43308</v>
      </c>
      <c r="D40" s="5"/>
      <c r="E40" s="5">
        <v>10.86</v>
      </c>
      <c r="F40" s="5">
        <f>25+25/30*27</f>
        <v>47.5</v>
      </c>
      <c r="G40" s="5"/>
      <c r="H40" s="5"/>
      <c r="I40" s="6">
        <v>75</v>
      </c>
      <c r="J40" s="6">
        <v>25</v>
      </c>
      <c r="K40" s="6">
        <f t="shared" si="1"/>
        <v>35</v>
      </c>
    </row>
    <row r="41" spans="1:12">
      <c r="A41" s="22" t="s">
        <v>55</v>
      </c>
      <c r="B41" s="4">
        <v>43363</v>
      </c>
      <c r="C41" s="4">
        <v>76312</v>
      </c>
      <c r="D41" s="5"/>
      <c r="E41" s="5">
        <v>14.11</v>
      </c>
      <c r="F41" s="5">
        <f>25*2+25*16/30</f>
        <v>63.333333333333336</v>
      </c>
      <c r="G41" s="5"/>
      <c r="H41" s="5"/>
      <c r="I41" s="6">
        <v>75</v>
      </c>
      <c r="J41" s="6">
        <v>25</v>
      </c>
      <c r="K41" s="6">
        <f t="shared" si="1"/>
        <v>35</v>
      </c>
    </row>
    <row r="42" spans="1:12">
      <c r="A42" s="22" t="s">
        <v>56</v>
      </c>
      <c r="B42" s="4">
        <v>43361</v>
      </c>
      <c r="C42" s="4">
        <v>43132</v>
      </c>
      <c r="D42" s="5"/>
      <c r="E42" s="5">
        <v>14.11</v>
      </c>
      <c r="F42" s="5">
        <f>25*4+25/30*12</f>
        <v>110</v>
      </c>
      <c r="G42" s="5"/>
      <c r="H42" s="5"/>
      <c r="I42" s="6">
        <v>75</v>
      </c>
      <c r="J42" s="6">
        <v>25</v>
      </c>
      <c r="K42" s="6">
        <f t="shared" si="1"/>
        <v>35</v>
      </c>
    </row>
    <row r="43" spans="1:12">
      <c r="A43" s="10" t="s">
        <v>53</v>
      </c>
      <c r="B43" s="11">
        <v>43377</v>
      </c>
      <c r="C43" s="11">
        <v>43455</v>
      </c>
      <c r="D43" s="12"/>
      <c r="E43" s="12">
        <v>10.86</v>
      </c>
      <c r="F43" s="12">
        <f>26*2+25/30*17</f>
        <v>66.166666666666671</v>
      </c>
      <c r="G43" s="12"/>
      <c r="H43" s="12"/>
      <c r="I43" s="12">
        <v>90</v>
      </c>
      <c r="J43" s="12">
        <v>26</v>
      </c>
      <c r="K43" s="12">
        <v>0</v>
      </c>
    </row>
    <row r="44" spans="1:12">
      <c r="A44" s="22" t="s">
        <v>54</v>
      </c>
      <c r="B44" s="4">
        <v>43167</v>
      </c>
      <c r="C44" s="4">
        <v>43455</v>
      </c>
      <c r="D44" s="5"/>
      <c r="E44" s="5">
        <v>10.86</v>
      </c>
      <c r="F44" s="5">
        <f>9*25+25*13/30</f>
        <v>235.83333333333334</v>
      </c>
      <c r="G44" s="5"/>
      <c r="H44" s="5"/>
      <c r="I44" s="6">
        <v>90</v>
      </c>
      <c r="J44" s="6">
        <v>36</v>
      </c>
      <c r="K44" s="6">
        <f t="shared" si="1"/>
        <v>37.799999999999997</v>
      </c>
    </row>
    <row r="45" spans="1:12">
      <c r="A45" s="22" t="s">
        <v>57</v>
      </c>
      <c r="B45" s="4">
        <v>43478</v>
      </c>
      <c r="C45" s="4">
        <v>43536</v>
      </c>
      <c r="D45" s="5"/>
      <c r="E45" s="5">
        <v>10.86</v>
      </c>
      <c r="F45" s="5">
        <v>25</v>
      </c>
      <c r="G45" s="5"/>
      <c r="H45" s="5"/>
      <c r="I45" s="6">
        <v>70</v>
      </c>
      <c r="J45" s="6">
        <v>25</v>
      </c>
      <c r="K45" s="18">
        <f>(I45-J45)*0.7</f>
        <v>31.499999999999996</v>
      </c>
    </row>
    <row r="46" spans="1:12">
      <c r="A46" s="22" t="s">
        <v>58</v>
      </c>
      <c r="B46" s="4">
        <v>43534</v>
      </c>
      <c r="C46" s="4">
        <v>43542</v>
      </c>
      <c r="D46" s="5"/>
      <c r="E46" s="5">
        <f>10.86*2</f>
        <v>21.72</v>
      </c>
      <c r="F46" s="5">
        <v>0</v>
      </c>
      <c r="G46" s="5"/>
      <c r="H46" s="5"/>
      <c r="I46" s="6">
        <v>120</v>
      </c>
      <c r="J46" s="6">
        <f>60+11</f>
        <v>71</v>
      </c>
      <c r="K46" s="6">
        <f>(I46-J46)*0.7</f>
        <v>34.299999999999997</v>
      </c>
    </row>
    <row r="47" spans="1:12">
      <c r="A47" s="22" t="s">
        <v>59</v>
      </c>
      <c r="B47" s="4">
        <v>43528</v>
      </c>
      <c r="C47" s="4">
        <v>43538</v>
      </c>
      <c r="D47" s="5"/>
      <c r="E47" s="5">
        <v>14.92</v>
      </c>
      <c r="F47" s="5">
        <f>77/30*10</f>
        <v>25.666666666666668</v>
      </c>
      <c r="G47" s="5"/>
      <c r="H47" s="5"/>
      <c r="I47" s="17">
        <v>169</v>
      </c>
      <c r="J47" s="18">
        <f>64+11+2</f>
        <v>77</v>
      </c>
      <c r="K47" s="6">
        <f>(I47-J47)*0.7</f>
        <v>64.399999999999991</v>
      </c>
    </row>
    <row r="48" spans="1:12">
      <c r="A48" s="22" t="s">
        <v>61</v>
      </c>
      <c r="B48" s="4">
        <v>43482</v>
      </c>
      <c r="C48" s="4">
        <v>43542</v>
      </c>
      <c r="D48" s="5"/>
      <c r="E48" s="5">
        <v>11.1</v>
      </c>
      <c r="F48" s="5">
        <f>25*2</f>
        <v>50</v>
      </c>
      <c r="G48" s="5"/>
      <c r="H48" s="5"/>
      <c r="I48" s="6">
        <v>70</v>
      </c>
      <c r="J48" s="6">
        <v>26</v>
      </c>
      <c r="K48" s="27">
        <f>(I48-J48)*0.7</f>
        <v>30.799999999999997</v>
      </c>
    </row>
    <row r="49" spans="1:12">
      <c r="A49" s="22" t="s">
        <v>63</v>
      </c>
      <c r="B49" s="4">
        <v>43593</v>
      </c>
      <c r="C49" s="4">
        <v>43605</v>
      </c>
      <c r="D49" s="5"/>
      <c r="E49" s="5">
        <f>10.86*2+20</f>
        <v>41.72</v>
      </c>
      <c r="F49" s="5">
        <f>18/30*12</f>
        <v>7.1999999999999993</v>
      </c>
      <c r="G49" s="5"/>
      <c r="H49" s="5"/>
      <c r="I49" s="6">
        <v>100</v>
      </c>
      <c r="J49" s="6">
        <f>11+7</f>
        <v>18</v>
      </c>
      <c r="K49" s="6">
        <f t="shared" ref="K49:K69" si="2">(I49-J49)*0.7</f>
        <v>57.4</v>
      </c>
    </row>
    <row r="50" spans="1:12">
      <c r="A50" s="22" t="s">
        <v>67</v>
      </c>
      <c r="B50" s="4">
        <v>43600</v>
      </c>
      <c r="C50" s="4">
        <v>43629</v>
      </c>
      <c r="D50" s="5"/>
      <c r="E50" s="5">
        <f>10.86*2</f>
        <v>21.72</v>
      </c>
      <c r="F50" s="5">
        <f>22/30*58</f>
        <v>42.533333333333331</v>
      </c>
      <c r="G50" s="5">
        <v>50</v>
      </c>
      <c r="H50" s="5">
        <f>E50+F50+G50</f>
        <v>114.25333333333333</v>
      </c>
      <c r="I50" s="6">
        <v>60</v>
      </c>
      <c r="J50" s="6">
        <v>25</v>
      </c>
      <c r="K50" s="6">
        <f>(I50-J50)*0.7</f>
        <v>24.5</v>
      </c>
    </row>
    <row r="51" spans="1:12">
      <c r="A51" s="22" t="s">
        <v>66</v>
      </c>
      <c r="B51" s="4">
        <v>43600</v>
      </c>
      <c r="C51" s="4">
        <v>43629</v>
      </c>
      <c r="D51" s="5"/>
      <c r="E51" s="5">
        <f>10.86</f>
        <v>10.86</v>
      </c>
      <c r="F51" s="5">
        <f>39/30*58</f>
        <v>75.400000000000006</v>
      </c>
      <c r="G51" s="5"/>
      <c r="H51" s="5">
        <f>E51+F51</f>
        <v>86.26</v>
      </c>
      <c r="I51" s="6">
        <v>110</v>
      </c>
      <c r="J51" s="6">
        <f>25+11+3</f>
        <v>39</v>
      </c>
      <c r="K51" s="6">
        <f>(I51-J51)*0.7</f>
        <v>49.699999999999996</v>
      </c>
      <c r="L51" t="s">
        <v>73</v>
      </c>
    </row>
    <row r="52" spans="1:12">
      <c r="A52" s="22" t="s">
        <v>64</v>
      </c>
      <c r="B52" s="4">
        <v>43627</v>
      </c>
      <c r="C52" s="4">
        <v>43629</v>
      </c>
      <c r="D52" s="5"/>
      <c r="E52" s="5">
        <v>10.86</v>
      </c>
      <c r="F52" s="5">
        <f>25/30*2</f>
        <v>1.6666666666666667</v>
      </c>
      <c r="G52" s="5"/>
      <c r="H52" s="5">
        <f>E52+F52</f>
        <v>12.526666666666666</v>
      </c>
      <c r="I52" s="6">
        <v>90</v>
      </c>
      <c r="J52" s="6">
        <v>25</v>
      </c>
      <c r="K52" s="6">
        <f>(I52-J52)*0.7</f>
        <v>45.5</v>
      </c>
    </row>
    <row r="53" spans="1:12">
      <c r="A53" s="22" t="s">
        <v>65</v>
      </c>
      <c r="B53" s="31">
        <v>43622</v>
      </c>
      <c r="C53" s="4">
        <v>43650</v>
      </c>
      <c r="D53" s="5"/>
      <c r="E53" s="5">
        <v>10.86</v>
      </c>
      <c r="F53" s="5"/>
      <c r="G53" s="5"/>
      <c r="H53" s="5"/>
      <c r="I53" s="6">
        <v>120</v>
      </c>
      <c r="J53" s="6">
        <v>60</v>
      </c>
      <c r="K53" s="6">
        <f t="shared" si="2"/>
        <v>42</v>
      </c>
    </row>
    <row r="54" spans="1:12">
      <c r="A54" s="22" t="s">
        <v>71</v>
      </c>
      <c r="B54" s="4">
        <v>43635</v>
      </c>
      <c r="C54" s="4">
        <v>43662</v>
      </c>
      <c r="D54" s="5"/>
      <c r="E54" s="5">
        <f>10.86*2</f>
        <v>21.72</v>
      </c>
      <c r="F54" s="5"/>
      <c r="G54" s="5"/>
      <c r="H54" s="5"/>
      <c r="I54" s="6">
        <v>70</v>
      </c>
      <c r="J54" s="6">
        <v>26</v>
      </c>
      <c r="K54" s="6">
        <f t="shared" si="2"/>
        <v>30.799999999999997</v>
      </c>
      <c r="L54" t="s">
        <v>72</v>
      </c>
    </row>
    <row r="55" spans="1:12">
      <c r="A55" s="22" t="s">
        <v>77</v>
      </c>
      <c r="B55" s="4">
        <v>43682</v>
      </c>
      <c r="C55" s="4">
        <v>43682</v>
      </c>
      <c r="D55" s="5"/>
      <c r="E55" s="5"/>
      <c r="F55" s="5"/>
      <c r="G55" s="5"/>
      <c r="H55" s="5"/>
      <c r="I55" s="6">
        <v>10</v>
      </c>
      <c r="J55" s="6">
        <v>1</v>
      </c>
      <c r="K55" s="6">
        <f t="shared" si="2"/>
        <v>6.3</v>
      </c>
    </row>
    <row r="56" spans="1:12">
      <c r="A56" s="2" t="s">
        <v>74</v>
      </c>
      <c r="B56" s="4">
        <v>43661</v>
      </c>
      <c r="C56" s="4">
        <v>43711</v>
      </c>
      <c r="D56" s="5"/>
      <c r="E56" s="5">
        <v>10.86</v>
      </c>
      <c r="F56" s="5">
        <f>36/30*48</f>
        <v>57.599999999999994</v>
      </c>
      <c r="G56" s="5"/>
      <c r="H56" s="5"/>
      <c r="I56" s="6">
        <v>105</v>
      </c>
      <c r="J56" s="6">
        <v>36</v>
      </c>
      <c r="K56" s="6">
        <f t="shared" si="2"/>
        <v>48.3</v>
      </c>
    </row>
    <row r="57" spans="1:12">
      <c r="A57" s="2" t="s">
        <v>75</v>
      </c>
      <c r="B57" s="4">
        <v>43656</v>
      </c>
      <c r="C57" s="4">
        <v>43711</v>
      </c>
      <c r="D57" s="5"/>
      <c r="E57" s="5">
        <v>10.86</v>
      </c>
      <c r="F57" s="5">
        <f>36/30*48</f>
        <v>57.599999999999994</v>
      </c>
      <c r="G57" s="5"/>
      <c r="H57" s="5"/>
      <c r="I57" s="6">
        <v>105</v>
      </c>
      <c r="J57" s="6">
        <v>36</v>
      </c>
      <c r="K57" s="6">
        <f t="shared" si="2"/>
        <v>48.3</v>
      </c>
    </row>
    <row r="58" spans="1:12">
      <c r="A58" s="2" t="s">
        <v>76</v>
      </c>
      <c r="B58" s="4">
        <v>43677</v>
      </c>
      <c r="C58" s="4">
        <v>43713</v>
      </c>
      <c r="D58" s="5"/>
      <c r="E58" s="5">
        <v>24.06</v>
      </c>
      <c r="F58" s="5">
        <f>80/30*35</f>
        <v>93.333333333333329</v>
      </c>
      <c r="G58" s="5">
        <v>40</v>
      </c>
      <c r="H58" s="5"/>
      <c r="I58" s="6">
        <v>149</v>
      </c>
      <c r="J58" s="6">
        <v>80</v>
      </c>
      <c r="K58" s="6">
        <f t="shared" si="2"/>
        <v>48.3</v>
      </c>
      <c r="L58" t="s">
        <v>79</v>
      </c>
    </row>
    <row r="59" spans="1:12">
      <c r="A59" s="22" t="s">
        <v>78</v>
      </c>
      <c r="B59" s="4">
        <v>43747</v>
      </c>
      <c r="C59" s="4">
        <v>43789</v>
      </c>
      <c r="D59" s="5"/>
      <c r="E59" s="5">
        <f>9.51+9.44</f>
        <v>18.95</v>
      </c>
      <c r="F59" s="5">
        <f>52/30*41</f>
        <v>71.066666666666663</v>
      </c>
      <c r="G59" s="5"/>
      <c r="H59" s="5"/>
      <c r="I59" s="6">
        <v>99</v>
      </c>
      <c r="J59" s="6">
        <f>52</f>
        <v>52</v>
      </c>
      <c r="K59" s="6">
        <f t="shared" si="2"/>
        <v>32.9</v>
      </c>
    </row>
    <row r="60" spans="1:12">
      <c r="A60" s="2" t="s">
        <v>81</v>
      </c>
      <c r="B60" s="4">
        <v>43788</v>
      </c>
      <c r="C60" s="4">
        <v>43865</v>
      </c>
      <c r="D60" s="5"/>
      <c r="E60" s="5">
        <v>9.14</v>
      </c>
      <c r="F60" s="5">
        <f>25/30*45</f>
        <v>37.5</v>
      </c>
      <c r="G60" s="5"/>
      <c r="H60" s="5"/>
      <c r="I60" s="6">
        <v>90</v>
      </c>
      <c r="J60" s="6">
        <v>25</v>
      </c>
      <c r="K60" s="6">
        <f t="shared" si="2"/>
        <v>45.5</v>
      </c>
    </row>
    <row r="61" spans="1:12">
      <c r="A61" s="22" t="s">
        <v>82</v>
      </c>
      <c r="B61" s="35">
        <v>40235</v>
      </c>
      <c r="C61" s="35">
        <v>43901</v>
      </c>
      <c r="D61" s="5"/>
      <c r="E61" s="5">
        <v>9.6</v>
      </c>
      <c r="F61" s="5">
        <f>11/2</f>
        <v>5.5</v>
      </c>
      <c r="G61" s="5"/>
      <c r="H61" s="5"/>
      <c r="I61" s="6">
        <v>25</v>
      </c>
      <c r="J61" s="6">
        <v>11</v>
      </c>
      <c r="K61" s="6">
        <f t="shared" si="2"/>
        <v>9.7999999999999989</v>
      </c>
    </row>
    <row r="62" spans="1:12">
      <c r="A62" s="22" t="s">
        <v>83</v>
      </c>
      <c r="B62" s="35">
        <v>43872</v>
      </c>
      <c r="C62" s="35">
        <v>43913</v>
      </c>
      <c r="D62" s="5"/>
      <c r="E62" s="5">
        <v>12.24</v>
      </c>
      <c r="F62" s="5">
        <f>45/30*42</f>
        <v>63</v>
      </c>
      <c r="G62" s="5"/>
      <c r="H62" s="5"/>
      <c r="I62" s="6">
        <v>85</v>
      </c>
      <c r="J62" s="6">
        <v>45</v>
      </c>
      <c r="K62" s="6">
        <f t="shared" si="2"/>
        <v>28</v>
      </c>
    </row>
    <row r="63" spans="1:12">
      <c r="A63" s="22" t="s">
        <v>89</v>
      </c>
      <c r="B63" s="35">
        <v>43908</v>
      </c>
      <c r="C63" s="35">
        <v>43893</v>
      </c>
      <c r="D63" s="5"/>
      <c r="E63" s="5">
        <v>9.6</v>
      </c>
      <c r="F63" s="5">
        <v>5.5</v>
      </c>
      <c r="G63" s="5"/>
      <c r="H63" s="5"/>
      <c r="I63" s="6">
        <v>25</v>
      </c>
      <c r="J63" s="6">
        <v>11</v>
      </c>
      <c r="K63" s="6">
        <f t="shared" si="2"/>
        <v>9.7999999999999989</v>
      </c>
    </row>
    <row r="64" spans="1:12">
      <c r="A64" s="22" t="s">
        <v>80</v>
      </c>
      <c r="B64" s="35">
        <v>43873</v>
      </c>
      <c r="C64" s="35">
        <v>43910</v>
      </c>
      <c r="D64" s="5"/>
      <c r="E64" s="5">
        <v>21.84</v>
      </c>
      <c r="F64" s="5">
        <f>56/30*38</f>
        <v>70.933333333333337</v>
      </c>
      <c r="G64" s="5"/>
      <c r="H64" s="5"/>
      <c r="I64" s="6">
        <v>120</v>
      </c>
      <c r="J64" s="6">
        <v>56</v>
      </c>
      <c r="K64" s="6">
        <f t="shared" si="2"/>
        <v>44.8</v>
      </c>
    </row>
    <row r="65" spans="1:13">
      <c r="A65" s="22" t="s">
        <v>84</v>
      </c>
      <c r="B65" s="35">
        <v>43889</v>
      </c>
      <c r="C65" s="35">
        <v>43903</v>
      </c>
      <c r="D65" s="5"/>
      <c r="E65" s="5">
        <v>9.14</v>
      </c>
      <c r="F65" s="5">
        <f>11/30*15</f>
        <v>5.5</v>
      </c>
      <c r="G65" s="5"/>
      <c r="H65" s="5"/>
      <c r="I65" s="6">
        <v>25</v>
      </c>
      <c r="J65" s="6">
        <v>11</v>
      </c>
      <c r="K65" s="6">
        <f t="shared" si="2"/>
        <v>9.7999999999999989</v>
      </c>
    </row>
    <row r="66" spans="1:13">
      <c r="A66" s="22" t="s">
        <v>85</v>
      </c>
      <c r="B66" s="35">
        <v>43881</v>
      </c>
      <c r="C66" s="35">
        <v>43895</v>
      </c>
      <c r="D66" s="5"/>
      <c r="E66" s="5">
        <v>9.14</v>
      </c>
      <c r="F66" s="5">
        <f>11/30*15</f>
        <v>5.5</v>
      </c>
      <c r="G66" s="5"/>
      <c r="H66" s="5"/>
      <c r="I66" s="6">
        <v>25</v>
      </c>
      <c r="J66" s="6">
        <v>11</v>
      </c>
      <c r="K66" s="6">
        <f t="shared" si="2"/>
        <v>9.7999999999999989</v>
      </c>
    </row>
    <row r="67" spans="1:13">
      <c r="A67" s="22" t="s">
        <v>86</v>
      </c>
      <c r="B67" s="35">
        <v>43882</v>
      </c>
      <c r="C67" s="35">
        <v>43896</v>
      </c>
      <c r="D67" s="5"/>
      <c r="E67" s="5">
        <v>12.19</v>
      </c>
      <c r="F67" s="5">
        <f>22/2</f>
        <v>11</v>
      </c>
      <c r="G67" s="5"/>
      <c r="H67" s="5"/>
      <c r="I67" s="6">
        <v>60</v>
      </c>
      <c r="J67" s="6">
        <v>22</v>
      </c>
      <c r="K67" s="6">
        <f t="shared" si="2"/>
        <v>26.599999999999998</v>
      </c>
    </row>
    <row r="68" spans="1:13">
      <c r="A68" s="22" t="s">
        <v>87</v>
      </c>
      <c r="B68" s="35">
        <v>43878</v>
      </c>
      <c r="C68" s="35">
        <v>43892</v>
      </c>
      <c r="D68" s="5"/>
      <c r="E68" s="5">
        <v>12.19</v>
      </c>
      <c r="F68" s="5">
        <v>5.5</v>
      </c>
      <c r="G68" s="5"/>
      <c r="H68" s="5"/>
      <c r="I68" s="6">
        <v>25</v>
      </c>
      <c r="J68" s="6">
        <v>11</v>
      </c>
      <c r="K68" s="6">
        <f t="shared" si="2"/>
        <v>9.7999999999999989</v>
      </c>
    </row>
    <row r="69" spans="1:13">
      <c r="A69" s="22" t="s">
        <v>88</v>
      </c>
      <c r="B69" s="35">
        <v>43855</v>
      </c>
      <c r="C69" s="35">
        <v>43941</v>
      </c>
      <c r="D69" s="5"/>
      <c r="E69" s="5">
        <v>13.93</v>
      </c>
      <c r="F69" s="5">
        <f>56/30*85</f>
        <v>158.66666666666666</v>
      </c>
      <c r="G69" s="5"/>
      <c r="H69" s="5"/>
      <c r="I69" s="6">
        <v>110</v>
      </c>
      <c r="J69" s="6">
        <v>56</v>
      </c>
      <c r="K69" s="6">
        <f t="shared" si="2"/>
        <v>37.799999999999997</v>
      </c>
    </row>
    <row r="70" spans="1:13">
      <c r="A70" s="39" t="s">
        <v>95</v>
      </c>
      <c r="B70" s="36">
        <v>44028</v>
      </c>
      <c r="C70" s="36">
        <v>40387</v>
      </c>
      <c r="D70" s="16"/>
      <c r="E70" s="37">
        <v>8.75</v>
      </c>
      <c r="F70" s="5">
        <f>41/30*12</f>
        <v>16.399999999999999</v>
      </c>
      <c r="G70" s="5"/>
      <c r="H70" s="5"/>
      <c r="I70" s="17">
        <v>60</v>
      </c>
      <c r="J70" s="26">
        <v>41</v>
      </c>
      <c r="K70" s="26">
        <f>(I70-J70)*0.7</f>
        <v>13.299999999999999</v>
      </c>
    </row>
    <row r="71" spans="1:13">
      <c r="A71" s="22" t="s">
        <v>90</v>
      </c>
      <c r="B71" s="35" t="s">
        <v>96</v>
      </c>
      <c r="C71" s="35">
        <v>40362</v>
      </c>
      <c r="D71" s="5" t="s">
        <v>106</v>
      </c>
      <c r="E71" s="5">
        <v>11.29</v>
      </c>
      <c r="F71" s="5">
        <f>100</f>
        <v>100</v>
      </c>
      <c r="G71" s="5"/>
      <c r="H71" s="5"/>
      <c r="I71" s="6">
        <v>75</v>
      </c>
      <c r="J71" s="6">
        <f>25+11</f>
        <v>36</v>
      </c>
      <c r="K71" s="6">
        <f>12.5+(62.5-J71)*0.7</f>
        <v>31.049999999999997</v>
      </c>
      <c r="M71" s="41"/>
    </row>
    <row r="72" spans="1:13">
      <c r="A72" s="22" t="s">
        <v>97</v>
      </c>
      <c r="B72" s="35">
        <v>43990</v>
      </c>
      <c r="C72" s="35">
        <v>44036</v>
      </c>
      <c r="D72" s="5"/>
      <c r="E72" s="5">
        <v>8.75</v>
      </c>
      <c r="F72" s="5">
        <f>56/30*46</f>
        <v>85.866666666666674</v>
      </c>
      <c r="G72" s="5"/>
      <c r="H72" s="5"/>
      <c r="I72" s="6">
        <v>110</v>
      </c>
      <c r="J72" s="6">
        <f>45+11</f>
        <v>56</v>
      </c>
      <c r="K72" s="6">
        <f>(I72-J72)*0.7</f>
        <v>37.799999999999997</v>
      </c>
    </row>
    <row r="73" spans="1:13">
      <c r="A73" s="22" t="s">
        <v>93</v>
      </c>
      <c r="B73" s="35">
        <v>44043</v>
      </c>
      <c r="C73" s="35">
        <v>44043</v>
      </c>
      <c r="D73" s="5" t="s">
        <v>106</v>
      </c>
      <c r="E73" s="5">
        <v>27.02</v>
      </c>
      <c r="F73" s="5">
        <v>0</v>
      </c>
      <c r="G73" s="5"/>
      <c r="H73" s="5"/>
      <c r="I73" s="6">
        <v>160</v>
      </c>
      <c r="J73" s="6">
        <f>45+22</f>
        <v>67</v>
      </c>
      <c r="K73" s="6">
        <f>15+78*0.7</f>
        <v>69.599999999999994</v>
      </c>
      <c r="M73" s="41"/>
    </row>
    <row r="74" spans="1:13">
      <c r="A74" s="22" t="s">
        <v>91</v>
      </c>
      <c r="B74" s="35">
        <v>44011</v>
      </c>
      <c r="C74" s="35">
        <v>44084</v>
      </c>
      <c r="D74" s="5"/>
      <c r="E74" s="5">
        <v>11.29</v>
      </c>
      <c r="F74" s="5">
        <f>25/30*71</f>
        <v>59.166666666666671</v>
      </c>
      <c r="G74" s="5"/>
      <c r="H74" s="5"/>
      <c r="I74" s="6">
        <v>40</v>
      </c>
      <c r="J74" s="6">
        <v>25</v>
      </c>
      <c r="K74" s="6">
        <f t="shared" ref="K74:K80" si="3">(I74-J74)*0.7</f>
        <v>10.5</v>
      </c>
    </row>
    <row r="75" spans="1:13">
      <c r="A75" s="22" t="s">
        <v>98</v>
      </c>
      <c r="B75" s="35">
        <v>44048</v>
      </c>
      <c r="C75" s="35">
        <v>44081</v>
      </c>
      <c r="D75" s="5" t="s">
        <v>106</v>
      </c>
      <c r="E75" s="5">
        <v>27.88</v>
      </c>
      <c r="F75" s="5">
        <f>58/30*32</f>
        <v>61.866666666666667</v>
      </c>
      <c r="G75" s="5">
        <v>125</v>
      </c>
      <c r="H75" s="5"/>
      <c r="I75" s="6">
        <v>140</v>
      </c>
      <c r="J75" s="6">
        <f>25+33</f>
        <v>58</v>
      </c>
      <c r="K75" s="6">
        <f>17.5+64.5*0.7</f>
        <v>62.65</v>
      </c>
      <c r="M75" s="41"/>
    </row>
    <row r="76" spans="1:13">
      <c r="A76" s="10" t="s">
        <v>92</v>
      </c>
      <c r="B76" s="11">
        <v>44012</v>
      </c>
      <c r="C76" s="11">
        <v>44096</v>
      </c>
      <c r="D76" s="12"/>
      <c r="E76" s="12">
        <v>11.4</v>
      </c>
      <c r="F76" s="12">
        <f>25/30*82</f>
        <v>68.333333333333343</v>
      </c>
      <c r="G76" s="12"/>
      <c r="H76" s="12"/>
      <c r="I76" s="12">
        <v>70</v>
      </c>
      <c r="J76" s="12">
        <v>25</v>
      </c>
      <c r="K76" s="12">
        <v>0</v>
      </c>
    </row>
    <row r="77" spans="1:13">
      <c r="A77" s="2" t="s">
        <v>99</v>
      </c>
      <c r="B77" s="35">
        <v>44084</v>
      </c>
      <c r="C77" s="35">
        <v>44105</v>
      </c>
      <c r="D77" s="5" t="s">
        <v>106</v>
      </c>
      <c r="E77" s="5">
        <v>12.24</v>
      </c>
      <c r="F77" s="5">
        <f>25/30*20</f>
        <v>16.666666666666668</v>
      </c>
      <c r="G77" s="5"/>
      <c r="H77" s="5"/>
      <c r="I77" s="43">
        <v>40</v>
      </c>
      <c r="J77" s="6">
        <v>22</v>
      </c>
      <c r="K77" s="6">
        <f>5+13*0.7</f>
        <v>14.1</v>
      </c>
      <c r="M77" s="41"/>
    </row>
    <row r="78" spans="1:13">
      <c r="A78" s="2" t="s">
        <v>94</v>
      </c>
      <c r="B78" s="35">
        <v>44124</v>
      </c>
      <c r="C78" s="35">
        <v>44124</v>
      </c>
      <c r="D78" s="5"/>
      <c r="E78" s="5">
        <v>7.25</v>
      </c>
      <c r="F78" s="5">
        <v>0</v>
      </c>
      <c r="G78" s="5"/>
      <c r="H78" s="5"/>
      <c r="I78" s="6">
        <v>25</v>
      </c>
      <c r="J78" s="6">
        <v>11</v>
      </c>
      <c r="K78" s="6">
        <f t="shared" si="3"/>
        <v>9.7999999999999989</v>
      </c>
    </row>
    <row r="79" spans="1:13">
      <c r="A79" s="2" t="s">
        <v>100</v>
      </c>
      <c r="B79" s="4">
        <v>44018</v>
      </c>
      <c r="C79" s="4">
        <v>44124</v>
      </c>
      <c r="D79" s="40"/>
      <c r="E79" s="5">
        <v>9.5</v>
      </c>
      <c r="F79" s="5">
        <f>25/30*104</f>
        <v>86.666666666666671</v>
      </c>
      <c r="G79" s="5"/>
      <c r="H79" s="5"/>
      <c r="I79" s="6">
        <v>70</v>
      </c>
      <c r="J79" s="6">
        <v>25</v>
      </c>
      <c r="K79" s="6">
        <f t="shared" si="3"/>
        <v>31.499999999999996</v>
      </c>
    </row>
    <row r="80" spans="1:13">
      <c r="A80" s="2" t="s">
        <v>101</v>
      </c>
      <c r="B80" s="4">
        <v>44070</v>
      </c>
      <c r="C80" s="4">
        <v>44131</v>
      </c>
      <c r="D80" s="40"/>
      <c r="E80" s="5">
        <v>13.93</v>
      </c>
      <c r="F80" s="5">
        <f>71/30*60</f>
        <v>142</v>
      </c>
      <c r="G80" s="5"/>
      <c r="H80" s="5"/>
      <c r="I80" s="6">
        <v>120</v>
      </c>
      <c r="J80" s="6">
        <f>60+11</f>
        <v>71</v>
      </c>
      <c r="K80" s="6">
        <f t="shared" si="3"/>
        <v>34.299999999999997</v>
      </c>
    </row>
    <row r="81" spans="1:13">
      <c r="A81" s="2" t="s">
        <v>102</v>
      </c>
      <c r="B81" s="4" t="s">
        <v>103</v>
      </c>
      <c r="C81" s="4">
        <v>44110</v>
      </c>
      <c r="D81" s="40" t="s">
        <v>106</v>
      </c>
      <c r="E81" s="5">
        <v>36.65</v>
      </c>
      <c r="F81" s="5">
        <f>115/30*26</f>
        <v>99.666666666666671</v>
      </c>
      <c r="G81" s="5"/>
      <c r="H81" s="5"/>
      <c r="I81" s="6">
        <v>180</v>
      </c>
      <c r="J81" s="6">
        <v>115</v>
      </c>
      <c r="K81" s="6">
        <f>10+55*0.7</f>
        <v>48.5</v>
      </c>
      <c r="M81" s="41"/>
    </row>
    <row r="82" spans="1:13">
      <c r="A82" s="22" t="s">
        <v>104</v>
      </c>
      <c r="B82" s="4">
        <v>44159</v>
      </c>
      <c r="C82" s="4">
        <v>44187</v>
      </c>
      <c r="D82" s="40"/>
      <c r="E82" s="5">
        <v>13.93</v>
      </c>
      <c r="F82" s="5">
        <f>36/30*28</f>
        <v>33.6</v>
      </c>
      <c r="G82" s="5"/>
      <c r="H82" s="5"/>
      <c r="I82" s="6">
        <v>110</v>
      </c>
      <c r="J82" s="6">
        <f>25+11</f>
        <v>36</v>
      </c>
      <c r="K82" s="6">
        <f>(I82-J82)*0.7</f>
        <v>51.8</v>
      </c>
    </row>
    <row r="83" spans="1:13">
      <c r="A83" s="22" t="s">
        <v>108</v>
      </c>
      <c r="B83" s="4">
        <v>44185</v>
      </c>
      <c r="C83" s="4">
        <v>44242</v>
      </c>
      <c r="D83" s="40" t="s">
        <v>106</v>
      </c>
      <c r="E83" s="5">
        <v>26.48</v>
      </c>
      <c r="F83" s="5">
        <f>50/30*55</f>
        <v>91.666666666666671</v>
      </c>
      <c r="G83" s="5">
        <v>160</v>
      </c>
      <c r="H83" s="5"/>
      <c r="I83" s="6">
        <v>190</v>
      </c>
      <c r="J83" s="6">
        <v>61</v>
      </c>
      <c r="K83" s="6">
        <f>(20+109*0.7)</f>
        <v>96.3</v>
      </c>
    </row>
    <row r="84" spans="1:13">
      <c r="A84" s="22" t="s">
        <v>109</v>
      </c>
      <c r="B84" s="4">
        <v>44209</v>
      </c>
      <c r="C84" s="4">
        <v>44250</v>
      </c>
      <c r="D84" s="40" t="s">
        <v>106</v>
      </c>
      <c r="E84" s="5">
        <v>22.83</v>
      </c>
      <c r="F84" s="5">
        <f>100/30*40</f>
        <v>133.33333333333334</v>
      </c>
      <c r="G84" s="5">
        <v>125</v>
      </c>
      <c r="H84" s="5"/>
      <c r="I84" s="6">
        <v>210</v>
      </c>
      <c r="J84" s="6">
        <v>100</v>
      </c>
      <c r="K84" s="6">
        <f>(22.5+87.5*0.7)</f>
        <v>83.75</v>
      </c>
    </row>
    <row r="85" spans="1:13">
      <c r="A85" s="2" t="s">
        <v>112</v>
      </c>
      <c r="B85" s="4">
        <v>44270</v>
      </c>
      <c r="C85" s="4">
        <v>44286</v>
      </c>
      <c r="D85" s="40" t="s">
        <v>106</v>
      </c>
      <c r="E85" s="5">
        <v>31.96</v>
      </c>
      <c r="F85" s="5">
        <f>55/30*16</f>
        <v>29.333333333333332</v>
      </c>
      <c r="G85" s="5">
        <v>75</v>
      </c>
      <c r="H85" s="5"/>
      <c r="I85" s="6">
        <v>100</v>
      </c>
      <c r="J85" s="6">
        <v>55</v>
      </c>
      <c r="K85" s="6">
        <f>(17.5+27.5*0.7)</f>
        <v>36.75</v>
      </c>
    </row>
    <row r="86" spans="1:13">
      <c r="A86" s="2" t="s">
        <v>113</v>
      </c>
      <c r="B86" s="4">
        <v>44245</v>
      </c>
      <c r="C86" s="4">
        <v>44271</v>
      </c>
      <c r="D86" s="40" t="s">
        <v>106</v>
      </c>
      <c r="E86" s="5">
        <v>26.76</v>
      </c>
      <c r="F86" s="5">
        <f>67/30*28</f>
        <v>62.533333333333331</v>
      </c>
      <c r="G86" s="5"/>
      <c r="H86" s="5"/>
      <c r="I86" s="6">
        <v>140</v>
      </c>
      <c r="J86" s="6">
        <v>67</v>
      </c>
      <c r="K86" s="6">
        <f>(15+0.7*58)</f>
        <v>55.599999999999994</v>
      </c>
    </row>
    <row r="87" spans="1:13">
      <c r="A87" s="2" t="s">
        <v>114</v>
      </c>
      <c r="B87" s="4">
        <v>44222</v>
      </c>
      <c r="C87" s="4">
        <v>44279</v>
      </c>
      <c r="D87" s="40" t="s">
        <v>106</v>
      </c>
      <c r="E87" s="5">
        <v>13.4</v>
      </c>
      <c r="F87" s="5">
        <f>56/30*58</f>
        <v>108.26666666666667</v>
      </c>
      <c r="G87" s="5">
        <v>100</v>
      </c>
      <c r="H87" s="5"/>
      <c r="I87" s="6">
        <v>140</v>
      </c>
      <c r="J87" s="6">
        <v>56</v>
      </c>
      <c r="K87" s="6">
        <f>(12.5+71.5*0.7)/30*6</f>
        <v>12.51</v>
      </c>
    </row>
    <row r="88" spans="1:13">
      <c r="A88" s="22" t="s">
        <v>120</v>
      </c>
      <c r="B88" s="4">
        <v>44169</v>
      </c>
      <c r="C88" s="4">
        <v>44208</v>
      </c>
      <c r="D88" s="40" t="s">
        <v>106</v>
      </c>
      <c r="E88" s="5"/>
      <c r="F88" s="5">
        <f>41/30*38</f>
        <v>51.933333333333337</v>
      </c>
      <c r="G88" s="5"/>
      <c r="H88" s="5"/>
      <c r="I88" s="6">
        <v>70</v>
      </c>
      <c r="J88" s="6">
        <v>45</v>
      </c>
      <c r="K88" s="6">
        <f>10+10*0.7</f>
        <v>17</v>
      </c>
    </row>
    <row r="89" spans="1:13">
      <c r="A89" s="2" t="s">
        <v>119</v>
      </c>
      <c r="B89" s="4">
        <v>44281</v>
      </c>
      <c r="C89" s="4">
        <v>44316</v>
      </c>
      <c r="D89" s="40"/>
      <c r="E89" s="5">
        <v>14.26</v>
      </c>
      <c r="F89" s="5">
        <f>45/30*34</f>
        <v>51</v>
      </c>
      <c r="G89" s="5"/>
      <c r="H89" s="5"/>
      <c r="I89" s="6">
        <v>110</v>
      </c>
      <c r="J89" s="6">
        <v>45</v>
      </c>
      <c r="K89" s="6">
        <f>(65*0.7)</f>
        <v>45.5</v>
      </c>
    </row>
    <row r="90" spans="1:13">
      <c r="A90" s="22" t="s">
        <v>121</v>
      </c>
      <c r="B90" s="4">
        <v>44316</v>
      </c>
      <c r="C90" s="4">
        <v>44354</v>
      </c>
      <c r="D90" s="40"/>
      <c r="E90" s="5">
        <v>15.15</v>
      </c>
      <c r="F90" s="5">
        <f>36/30*37</f>
        <v>44.4</v>
      </c>
      <c r="G90" s="5"/>
      <c r="H90" s="5"/>
      <c r="I90" s="6">
        <v>110</v>
      </c>
      <c r="J90" s="6">
        <v>36</v>
      </c>
      <c r="K90" s="6">
        <f>(I90-J90)</f>
        <v>74</v>
      </c>
    </row>
    <row r="91" spans="1:13">
      <c r="A91" s="22" t="s">
        <v>126</v>
      </c>
      <c r="B91" s="4">
        <v>44336</v>
      </c>
      <c r="C91" s="4">
        <v>44370</v>
      </c>
      <c r="D91" s="40" t="s">
        <v>106</v>
      </c>
      <c r="E91" s="5">
        <v>35.78</v>
      </c>
      <c r="F91" s="5">
        <f>58/30*33</f>
        <v>63.8</v>
      </c>
      <c r="G91" s="5">
        <v>50</v>
      </c>
      <c r="H91" s="5"/>
      <c r="I91" s="6">
        <v>150</v>
      </c>
      <c r="J91" s="6">
        <v>58</v>
      </c>
      <c r="K91" s="6">
        <f>(17.5+74.5*0.7)</f>
        <v>69.650000000000006</v>
      </c>
    </row>
    <row r="92" spans="1:13">
      <c r="A92" s="22" t="s">
        <v>125</v>
      </c>
      <c r="B92" s="4">
        <v>44342</v>
      </c>
      <c r="C92" s="4">
        <v>44386</v>
      </c>
      <c r="D92" s="40" t="s">
        <v>106</v>
      </c>
      <c r="E92" s="5">
        <v>15.46</v>
      </c>
      <c r="F92" s="5">
        <f>36/30*43</f>
        <v>51.6</v>
      </c>
      <c r="G92" s="5">
        <f>50+45</f>
        <v>95</v>
      </c>
      <c r="H92" s="5"/>
      <c r="I92" s="6">
        <v>110</v>
      </c>
      <c r="J92" s="6">
        <v>36</v>
      </c>
      <c r="K92" s="6">
        <f>(12.5+(97.5-36)*0.7)</f>
        <v>55.55</v>
      </c>
    </row>
    <row r="93" spans="1:13">
      <c r="A93" s="22" t="s">
        <v>129</v>
      </c>
      <c r="B93" s="4">
        <v>44348</v>
      </c>
      <c r="C93" s="4">
        <v>44389</v>
      </c>
      <c r="D93" s="40" t="s">
        <v>106</v>
      </c>
      <c r="E93" s="5">
        <v>26.22</v>
      </c>
      <c r="F93" s="5">
        <f>71/30*42</f>
        <v>99.4</v>
      </c>
      <c r="G93" s="5">
        <f>50+45</f>
        <v>95</v>
      </c>
      <c r="H93" s="5"/>
      <c r="I93" s="6">
        <v>140</v>
      </c>
      <c r="J93" s="6">
        <v>71</v>
      </c>
      <c r="K93" s="6">
        <f>(12.5+(127.5-71)*0.7)</f>
        <v>52.05</v>
      </c>
    </row>
    <row r="94" spans="1:13">
      <c r="A94" s="22" t="s">
        <v>124</v>
      </c>
      <c r="B94" s="4">
        <v>44348</v>
      </c>
      <c r="C94" s="4">
        <v>44389</v>
      </c>
      <c r="D94" s="40"/>
      <c r="E94" s="5">
        <v>11.62</v>
      </c>
      <c r="F94" s="5">
        <f>26/30*42</f>
        <v>36.4</v>
      </c>
      <c r="G94" s="5">
        <v>65</v>
      </c>
      <c r="H94" s="5"/>
      <c r="I94" s="6">
        <v>70</v>
      </c>
      <c r="J94" s="6">
        <v>26</v>
      </c>
      <c r="K94" s="6">
        <f>(70-26)*0.7</f>
        <v>30.799999999999997</v>
      </c>
    </row>
    <row r="95" spans="1:13">
      <c r="A95" s="22" t="s">
        <v>133</v>
      </c>
      <c r="B95" s="4">
        <v>44432</v>
      </c>
      <c r="C95" s="4">
        <v>44467</v>
      </c>
      <c r="D95" s="40"/>
      <c r="E95" s="5">
        <v>9.8800000000000008</v>
      </c>
      <c r="F95" s="5">
        <f>25/30*34</f>
        <v>28.333333333333336</v>
      </c>
      <c r="G95" s="5"/>
      <c r="H95" s="5"/>
      <c r="I95" s="6">
        <v>70</v>
      </c>
      <c r="J95" s="6">
        <v>25</v>
      </c>
      <c r="K95" s="6">
        <f>45*0.7</f>
        <v>31.499999999999996</v>
      </c>
    </row>
    <row r="96" spans="1:13">
      <c r="A96" s="22" t="s">
        <v>132</v>
      </c>
      <c r="B96" s="4">
        <v>44407</v>
      </c>
      <c r="C96" s="4">
        <v>44461</v>
      </c>
      <c r="D96" s="40"/>
      <c r="E96" s="5">
        <v>9.8800000000000008</v>
      </c>
      <c r="F96" s="5">
        <f>25/30*52</f>
        <v>43.333333333333336</v>
      </c>
      <c r="G96" s="5"/>
      <c r="H96" s="5"/>
      <c r="I96" s="6">
        <v>70</v>
      </c>
      <c r="J96" s="6">
        <v>25</v>
      </c>
      <c r="K96" s="6">
        <f>45*0.7</f>
        <v>31.499999999999996</v>
      </c>
    </row>
    <row r="97" spans="1:11">
      <c r="A97" s="22" t="s">
        <v>135</v>
      </c>
      <c r="B97" s="35">
        <v>44460</v>
      </c>
      <c r="C97" s="35">
        <v>44475</v>
      </c>
      <c r="D97" s="40"/>
      <c r="E97" s="5">
        <v>19.760000000000002</v>
      </c>
      <c r="F97" s="5">
        <f>43/30*15</f>
        <v>21.5</v>
      </c>
      <c r="G97" s="5">
        <v>65</v>
      </c>
      <c r="H97" s="5"/>
      <c r="I97" s="6">
        <v>90</v>
      </c>
      <c r="J97" s="6">
        <v>43</v>
      </c>
      <c r="K97" s="6">
        <f>(I97-J97)*0.7</f>
        <v>32.9</v>
      </c>
    </row>
    <row r="98" spans="1:11">
      <c r="A98" s="22" t="s">
        <v>140</v>
      </c>
      <c r="B98" s="35">
        <v>44449</v>
      </c>
      <c r="C98" s="35">
        <v>44482</v>
      </c>
      <c r="D98" s="40" t="s">
        <v>106</v>
      </c>
      <c r="E98" s="5">
        <v>13.4</v>
      </c>
      <c r="F98" s="5">
        <f>60/30*33</f>
        <v>66</v>
      </c>
      <c r="G98" s="5">
        <v>80</v>
      </c>
      <c r="H98" s="5"/>
      <c r="I98" s="6">
        <v>120</v>
      </c>
      <c r="J98" s="6">
        <v>61</v>
      </c>
      <c r="K98" s="6">
        <f>(10+49*0.7)</f>
        <v>44.3</v>
      </c>
    </row>
    <row r="99" spans="1:11">
      <c r="A99" s="22" t="s">
        <v>141</v>
      </c>
      <c r="B99" s="35">
        <v>44459</v>
      </c>
      <c r="C99" s="35">
        <v>44481</v>
      </c>
      <c r="D99" s="40"/>
      <c r="E99" s="5">
        <v>15.15</v>
      </c>
      <c r="F99" s="5">
        <f>46/30*22</f>
        <v>33.733333333333334</v>
      </c>
      <c r="G99" s="5">
        <v>80</v>
      </c>
      <c r="H99" s="5"/>
      <c r="I99" s="6">
        <v>120</v>
      </c>
      <c r="J99" s="6">
        <v>46</v>
      </c>
      <c r="K99" s="6">
        <f>(120-46)*0.7</f>
        <v>51.8</v>
      </c>
    </row>
    <row r="100" spans="1:11">
      <c r="A100" s="22" t="s">
        <v>137</v>
      </c>
      <c r="B100" s="35">
        <v>44474</v>
      </c>
      <c r="C100" s="35">
        <v>44487</v>
      </c>
      <c r="D100" s="40"/>
      <c r="E100" s="5">
        <v>15.15</v>
      </c>
      <c r="F100" s="5">
        <f>71/30*13</f>
        <v>30.766666666666666</v>
      </c>
      <c r="G100" s="5">
        <v>95</v>
      </c>
      <c r="H100" s="5"/>
      <c r="I100" s="6">
        <v>140</v>
      </c>
      <c r="J100" s="6">
        <v>71</v>
      </c>
      <c r="K100" s="6">
        <f>(I100-J100)*0.7</f>
        <v>48.3</v>
      </c>
    </row>
    <row r="101" spans="1:11">
      <c r="A101" s="10" t="s">
        <v>143</v>
      </c>
      <c r="B101" s="11">
        <v>43717</v>
      </c>
      <c r="C101" s="11">
        <v>44505</v>
      </c>
      <c r="D101" s="40"/>
      <c r="E101" s="5">
        <v>13.4</v>
      </c>
      <c r="F101" s="5">
        <f>36*25+36/30*26</f>
        <v>931.2</v>
      </c>
      <c r="G101" s="5"/>
      <c r="H101" s="5"/>
      <c r="I101" s="6">
        <v>110</v>
      </c>
      <c r="J101" s="6">
        <v>36</v>
      </c>
      <c r="K101" s="6">
        <f>(110-36)*0.7/30*25</f>
        <v>43.166666666666664</v>
      </c>
    </row>
    <row r="102" spans="1:11">
      <c r="A102" s="19"/>
      <c r="B102" s="15"/>
      <c r="C102" s="15"/>
      <c r="E102" s="34"/>
      <c r="J102" s="8" t="s">
        <v>4</v>
      </c>
      <c r="K102" s="8">
        <f>SUM(K2:K101)</f>
        <v>3299.3766666666679</v>
      </c>
    </row>
    <row r="103" spans="1:11">
      <c r="A103" s="28"/>
      <c r="C103" s="15"/>
      <c r="D103" s="1"/>
      <c r="E103" s="1"/>
      <c r="F103" s="1"/>
      <c r="G103" s="1"/>
      <c r="H103" s="1"/>
      <c r="I103" s="1"/>
      <c r="J103" s="29"/>
      <c r="K103" s="29"/>
    </row>
    <row r="105" spans="1:11">
      <c r="E105" s="30"/>
    </row>
    <row r="106" spans="1:11">
      <c r="F106" s="42"/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dimension ref="A1:N95"/>
  <sheetViews>
    <sheetView topLeftCell="A76" workbookViewId="0">
      <selection activeCell="L88" sqref="L88"/>
    </sheetView>
  </sheetViews>
  <sheetFormatPr baseColWidth="10" defaultRowHeight="15"/>
  <cols>
    <col min="1" max="1" width="26.5703125" customWidth="1"/>
    <col min="2" max="2" width="22.85546875" customWidth="1"/>
  </cols>
  <sheetData>
    <row r="1" spans="1:13" ht="60">
      <c r="A1" s="2"/>
      <c r="B1" s="3" t="s">
        <v>0</v>
      </c>
      <c r="C1" s="3" t="s">
        <v>1</v>
      </c>
      <c r="D1" s="3" t="s">
        <v>159</v>
      </c>
      <c r="E1" s="3" t="s">
        <v>162</v>
      </c>
      <c r="F1" s="3" t="s">
        <v>3</v>
      </c>
      <c r="G1" s="3" t="s">
        <v>11</v>
      </c>
      <c r="H1" s="3" t="s">
        <v>36</v>
      </c>
      <c r="I1" s="3" t="s">
        <v>12</v>
      </c>
      <c r="J1" s="3" t="s">
        <v>5</v>
      </c>
      <c r="K1" s="3" t="s">
        <v>7</v>
      </c>
      <c r="L1" s="3" t="s">
        <v>8</v>
      </c>
      <c r="M1" s="14" t="s">
        <v>35</v>
      </c>
    </row>
    <row r="2" spans="1:13">
      <c r="A2" s="2" t="s">
        <v>10</v>
      </c>
      <c r="B2" s="4">
        <v>41852</v>
      </c>
      <c r="C2" s="4">
        <v>41852</v>
      </c>
      <c r="D2" s="5"/>
      <c r="E2" s="49"/>
      <c r="F2" s="5">
        <v>10</v>
      </c>
      <c r="G2" s="5"/>
      <c r="H2" s="5"/>
      <c r="I2" s="5">
        <f>D2+F2+H2</f>
        <v>10</v>
      </c>
      <c r="J2" s="6">
        <v>40</v>
      </c>
      <c r="K2" s="6">
        <v>25</v>
      </c>
      <c r="L2" s="6">
        <f t="shared" ref="L2:L33" si="0">(J2-K2)*0.7</f>
        <v>10.5</v>
      </c>
    </row>
    <row r="3" spans="1:13">
      <c r="A3" s="2" t="s">
        <v>9</v>
      </c>
      <c r="B3" s="4">
        <v>41871</v>
      </c>
      <c r="C3" s="4">
        <v>41892</v>
      </c>
      <c r="D3" s="5">
        <v>50</v>
      </c>
      <c r="E3" s="49"/>
      <c r="F3" s="5">
        <v>20</v>
      </c>
      <c r="G3" s="5">
        <f>K3/30*10</f>
        <v>13.666666666666668</v>
      </c>
      <c r="H3" s="5">
        <v>-300</v>
      </c>
      <c r="I3" s="5">
        <f>D3+F3+H3+G3</f>
        <v>-216.33333333333334</v>
      </c>
      <c r="J3" s="6">
        <v>100</v>
      </c>
      <c r="K3" s="6">
        <v>41</v>
      </c>
      <c r="L3" s="6">
        <f t="shared" si="0"/>
        <v>41.3</v>
      </c>
    </row>
    <row r="4" spans="1:13">
      <c r="A4" s="2" t="s">
        <v>17</v>
      </c>
      <c r="B4" s="4"/>
      <c r="C4" s="4">
        <v>42209</v>
      </c>
      <c r="D4" s="5"/>
      <c r="E4" s="49"/>
      <c r="F4" s="5"/>
      <c r="G4" s="5"/>
      <c r="H4" s="5"/>
      <c r="I4" s="5"/>
      <c r="J4" s="6">
        <v>90</v>
      </c>
      <c r="K4" s="6">
        <v>25</v>
      </c>
      <c r="L4" s="6">
        <f t="shared" si="0"/>
        <v>45.5</v>
      </c>
    </row>
    <row r="5" spans="1:13">
      <c r="A5" s="2" t="s">
        <v>15</v>
      </c>
      <c r="B5" s="4">
        <v>42272</v>
      </c>
      <c r="C5" s="4">
        <v>42275</v>
      </c>
      <c r="D5" s="5">
        <v>50</v>
      </c>
      <c r="E5" s="49"/>
      <c r="F5" s="5"/>
      <c r="G5" s="5">
        <f>25/30*3</f>
        <v>2.5</v>
      </c>
      <c r="H5" s="5"/>
      <c r="I5" s="5">
        <f>D5+F5+H5</f>
        <v>50</v>
      </c>
      <c r="J5" s="6">
        <v>40</v>
      </c>
      <c r="K5" s="6">
        <v>25</v>
      </c>
      <c r="L5" s="6">
        <f t="shared" si="0"/>
        <v>10.5</v>
      </c>
    </row>
    <row r="6" spans="1:13">
      <c r="A6" s="2" t="s">
        <v>18</v>
      </c>
      <c r="B6" s="2"/>
      <c r="C6" s="4">
        <v>42335</v>
      </c>
      <c r="D6" s="5"/>
      <c r="E6" s="49"/>
      <c r="F6" s="5"/>
      <c r="G6" s="5"/>
      <c r="H6" s="5"/>
      <c r="I6" s="5"/>
      <c r="J6" s="6">
        <v>90</v>
      </c>
      <c r="K6" s="6">
        <v>25</v>
      </c>
      <c r="L6" s="6">
        <f t="shared" si="0"/>
        <v>45.5</v>
      </c>
    </row>
    <row r="7" spans="1:13">
      <c r="A7" s="2" t="s">
        <v>16</v>
      </c>
      <c r="B7" s="2"/>
      <c r="C7" s="4">
        <v>42396</v>
      </c>
      <c r="D7" s="5"/>
      <c r="E7" s="49"/>
      <c r="F7" s="5"/>
      <c r="G7" s="5"/>
      <c r="H7" s="5"/>
      <c r="I7" s="5"/>
      <c r="J7" s="6">
        <v>90</v>
      </c>
      <c r="K7" s="6">
        <v>25</v>
      </c>
      <c r="L7" s="6">
        <f t="shared" si="0"/>
        <v>45.5</v>
      </c>
    </row>
    <row r="8" spans="1:13">
      <c r="A8" s="2" t="s">
        <v>22</v>
      </c>
      <c r="B8" s="4">
        <v>42546</v>
      </c>
      <c r="C8" s="4">
        <v>42571</v>
      </c>
      <c r="D8" s="5"/>
      <c r="E8" s="49"/>
      <c r="F8" s="5">
        <f>6.9+8.5</f>
        <v>15.4</v>
      </c>
      <c r="G8" s="5">
        <f>25*25/30</f>
        <v>20.833333333333332</v>
      </c>
      <c r="H8" s="5"/>
      <c r="I8" s="5"/>
      <c r="J8" s="6">
        <v>120</v>
      </c>
      <c r="K8" s="6">
        <v>25</v>
      </c>
      <c r="L8" s="6">
        <f t="shared" si="0"/>
        <v>66.5</v>
      </c>
    </row>
    <row r="9" spans="1:13">
      <c r="A9" s="2" t="s">
        <v>23</v>
      </c>
      <c r="B9" s="4">
        <v>42560</v>
      </c>
      <c r="C9" s="4">
        <v>42571</v>
      </c>
      <c r="D9" s="5"/>
      <c r="E9" s="49"/>
      <c r="F9" s="5">
        <v>8.5</v>
      </c>
      <c r="G9" s="5">
        <f>25*41/30</f>
        <v>34.166666666666664</v>
      </c>
      <c r="H9" s="5"/>
      <c r="I9" s="5"/>
      <c r="J9" s="6">
        <v>107.5</v>
      </c>
      <c r="K9" s="6">
        <v>25</v>
      </c>
      <c r="L9" s="6">
        <f t="shared" si="0"/>
        <v>57.749999999999993</v>
      </c>
    </row>
    <row r="10" spans="1:13">
      <c r="A10" s="2" t="s">
        <v>24</v>
      </c>
      <c r="B10" s="4">
        <v>42530</v>
      </c>
      <c r="C10" s="4">
        <v>42579</v>
      </c>
      <c r="D10" s="5"/>
      <c r="E10" s="49"/>
      <c r="F10" s="5">
        <f>8.5+6.9</f>
        <v>15.4</v>
      </c>
      <c r="G10" s="5">
        <f>25*52/30</f>
        <v>43.333333333333336</v>
      </c>
      <c r="H10" s="5"/>
      <c r="I10" s="5"/>
      <c r="J10" s="6">
        <v>90</v>
      </c>
      <c r="K10" s="6">
        <v>25</v>
      </c>
      <c r="L10" s="6">
        <f t="shared" si="0"/>
        <v>45.5</v>
      </c>
    </row>
    <row r="11" spans="1:13">
      <c r="A11" s="2" t="s">
        <v>26</v>
      </c>
      <c r="B11" s="4">
        <v>42633</v>
      </c>
      <c r="C11" s="4">
        <v>42644</v>
      </c>
      <c r="D11" s="5"/>
      <c r="E11" s="49"/>
      <c r="F11" s="5">
        <v>8.17</v>
      </c>
      <c r="G11" s="5">
        <f>25/30*10</f>
        <v>8.3333333333333339</v>
      </c>
      <c r="H11" s="5"/>
      <c r="I11" s="5"/>
      <c r="J11" s="6">
        <v>70</v>
      </c>
      <c r="K11" s="6">
        <v>25</v>
      </c>
      <c r="L11" s="6">
        <f t="shared" si="0"/>
        <v>31.499999999999996</v>
      </c>
    </row>
    <row r="12" spans="1:13">
      <c r="A12" s="2" t="s">
        <v>27</v>
      </c>
      <c r="B12" s="4">
        <v>42656</v>
      </c>
      <c r="C12" s="4">
        <v>42705</v>
      </c>
      <c r="D12" s="5"/>
      <c r="E12" s="49"/>
      <c r="F12" s="5">
        <v>8.17</v>
      </c>
      <c r="G12" s="5">
        <f>K12/30*47</f>
        <v>39.166666666666671</v>
      </c>
      <c r="H12" s="5"/>
      <c r="I12" s="5"/>
      <c r="J12" s="6">
        <v>40</v>
      </c>
      <c r="K12" s="6">
        <v>25</v>
      </c>
      <c r="L12" s="6">
        <f t="shared" si="0"/>
        <v>10.5</v>
      </c>
    </row>
    <row r="13" spans="1:13">
      <c r="A13" s="2" t="s">
        <v>29</v>
      </c>
      <c r="B13" s="4">
        <v>42683</v>
      </c>
      <c r="C13" s="4">
        <v>42718</v>
      </c>
      <c r="D13" s="5"/>
      <c r="E13" s="49"/>
      <c r="F13" s="5">
        <v>8.9700000000000006</v>
      </c>
      <c r="G13" s="5">
        <f>K13/30*35</f>
        <v>42</v>
      </c>
      <c r="H13" s="5"/>
      <c r="I13" s="5"/>
      <c r="J13" s="6">
        <f>105</f>
        <v>105</v>
      </c>
      <c r="K13" s="6">
        <v>36</v>
      </c>
      <c r="L13" s="6">
        <f t="shared" si="0"/>
        <v>48.3</v>
      </c>
    </row>
    <row r="14" spans="1:13">
      <c r="A14" s="2" t="s">
        <v>28</v>
      </c>
      <c r="B14" s="4">
        <v>42711</v>
      </c>
      <c r="C14" s="4">
        <v>42734</v>
      </c>
      <c r="D14" s="5"/>
      <c r="E14" s="49"/>
      <c r="F14" s="5">
        <v>8.17</v>
      </c>
      <c r="G14" s="5">
        <f>K14/30*23</f>
        <v>19.166666666666668</v>
      </c>
      <c r="H14" s="5"/>
      <c r="I14" s="5"/>
      <c r="J14" s="6">
        <v>40</v>
      </c>
      <c r="K14" s="6">
        <v>25</v>
      </c>
      <c r="L14" s="6">
        <f t="shared" si="0"/>
        <v>10.5</v>
      </c>
    </row>
    <row r="15" spans="1:13">
      <c r="A15" s="2" t="s">
        <v>30</v>
      </c>
      <c r="B15" s="4">
        <v>42732</v>
      </c>
      <c r="C15" s="4">
        <v>42759</v>
      </c>
      <c r="D15" s="5"/>
      <c r="E15" s="49"/>
      <c r="F15" s="5">
        <v>18.8</v>
      </c>
      <c r="G15" s="5">
        <f>K15/30*27</f>
        <v>23.400000000000002</v>
      </c>
      <c r="H15" s="5"/>
      <c r="I15" s="5"/>
      <c r="J15" s="6">
        <v>90</v>
      </c>
      <c r="K15" s="6">
        <v>26</v>
      </c>
      <c r="L15" s="6">
        <f t="shared" si="0"/>
        <v>44.8</v>
      </c>
    </row>
    <row r="16" spans="1:13">
      <c r="A16" s="2" t="s">
        <v>31</v>
      </c>
      <c r="B16" s="4">
        <v>42735</v>
      </c>
      <c r="C16" s="4">
        <v>42782</v>
      </c>
      <c r="D16" s="5">
        <v>50</v>
      </c>
      <c r="E16" s="49"/>
      <c r="F16" s="5">
        <v>20.63</v>
      </c>
      <c r="G16" s="5">
        <f>K16/30*46</f>
        <v>42.933333333333337</v>
      </c>
      <c r="H16" s="5"/>
      <c r="I16" s="5"/>
      <c r="J16" s="6">
        <v>92</v>
      </c>
      <c r="K16" s="6">
        <v>28</v>
      </c>
      <c r="L16" s="6">
        <f t="shared" si="0"/>
        <v>44.8</v>
      </c>
    </row>
    <row r="17" spans="1:13">
      <c r="A17" s="2" t="s">
        <v>32</v>
      </c>
      <c r="B17" s="4">
        <v>42857</v>
      </c>
      <c r="C17" s="4">
        <v>42866</v>
      </c>
      <c r="D17" s="5"/>
      <c r="E17" s="49"/>
      <c r="F17" s="5"/>
      <c r="G17" s="5">
        <f>23/30*9</f>
        <v>6.9</v>
      </c>
      <c r="H17" s="5">
        <f>60*0.7</f>
        <v>42</v>
      </c>
      <c r="I17" s="5"/>
      <c r="J17" s="6">
        <v>60</v>
      </c>
      <c r="K17" s="6">
        <v>23</v>
      </c>
      <c r="L17" s="6">
        <f t="shared" si="0"/>
        <v>25.9</v>
      </c>
    </row>
    <row r="18" spans="1:13">
      <c r="A18" s="2" t="s">
        <v>37</v>
      </c>
      <c r="B18" s="4">
        <v>42891</v>
      </c>
      <c r="C18" s="4">
        <v>42915</v>
      </c>
      <c r="D18" s="5"/>
      <c r="E18" s="49"/>
      <c r="F18" s="5">
        <v>6.83</v>
      </c>
      <c r="G18" s="5">
        <f>24/30*24</f>
        <v>19.200000000000003</v>
      </c>
      <c r="H18" s="5"/>
      <c r="I18" s="5"/>
      <c r="J18" s="6">
        <v>70</v>
      </c>
      <c r="K18" s="6">
        <v>24</v>
      </c>
      <c r="L18" s="6">
        <f t="shared" si="0"/>
        <v>32.199999999999996</v>
      </c>
    </row>
    <row r="19" spans="1:13">
      <c r="A19" s="2" t="s">
        <v>39</v>
      </c>
      <c r="B19" s="4">
        <v>43081</v>
      </c>
      <c r="C19" s="4">
        <v>43109</v>
      </c>
      <c r="D19" s="5"/>
      <c r="E19" s="49"/>
      <c r="F19" s="5">
        <v>9.83</v>
      </c>
      <c r="G19" s="5">
        <f>36/30*28</f>
        <v>33.6</v>
      </c>
      <c r="H19" s="5"/>
      <c r="I19" s="5"/>
      <c r="J19" s="6">
        <v>120</v>
      </c>
      <c r="K19" s="6">
        <v>36</v>
      </c>
      <c r="L19" s="6">
        <f t="shared" si="0"/>
        <v>58.8</v>
      </c>
    </row>
    <row r="20" spans="1:13">
      <c r="A20" s="22" t="s">
        <v>56</v>
      </c>
      <c r="B20" s="4">
        <v>43361</v>
      </c>
      <c r="C20" s="4">
        <v>43132</v>
      </c>
      <c r="D20" s="5"/>
      <c r="E20" s="49"/>
      <c r="F20" s="5">
        <v>14.11</v>
      </c>
      <c r="G20" s="5">
        <f>25*4+25/30*12</f>
        <v>110</v>
      </c>
      <c r="H20" s="5"/>
      <c r="I20" s="5"/>
      <c r="J20" s="6">
        <v>75</v>
      </c>
      <c r="K20" s="6">
        <v>25</v>
      </c>
      <c r="L20" s="6">
        <f t="shared" si="0"/>
        <v>35</v>
      </c>
    </row>
    <row r="21" spans="1:13">
      <c r="A21" s="2" t="s">
        <v>40</v>
      </c>
      <c r="B21" s="4">
        <v>43106</v>
      </c>
      <c r="C21" s="4">
        <v>43146</v>
      </c>
      <c r="D21" s="5"/>
      <c r="E21" s="49"/>
      <c r="F21" s="5">
        <v>8.2899999999999991</v>
      </c>
      <c r="G21" s="5">
        <f>25/30*39</f>
        <v>32.5</v>
      </c>
      <c r="H21" s="5"/>
      <c r="I21" s="5"/>
      <c r="J21" s="6">
        <v>70</v>
      </c>
      <c r="K21" s="6">
        <v>26</v>
      </c>
      <c r="L21" s="6">
        <f t="shared" si="0"/>
        <v>30.799999999999997</v>
      </c>
    </row>
    <row r="22" spans="1:13">
      <c r="A22" s="2" t="s">
        <v>42</v>
      </c>
      <c r="B22" s="4">
        <v>43162</v>
      </c>
      <c r="C22" s="4">
        <v>43189</v>
      </c>
      <c r="D22" s="5"/>
      <c r="E22" s="49"/>
      <c r="F22" s="5">
        <v>9.92</v>
      </c>
      <c r="G22" s="5">
        <f>25/30*27</f>
        <v>22.5</v>
      </c>
      <c r="H22" s="5"/>
      <c r="I22" s="5"/>
      <c r="J22" s="6">
        <v>80</v>
      </c>
      <c r="K22" s="6">
        <v>26</v>
      </c>
      <c r="L22" s="6">
        <f t="shared" si="0"/>
        <v>37.799999999999997</v>
      </c>
    </row>
    <row r="23" spans="1:13">
      <c r="A23" s="9" t="s">
        <v>44</v>
      </c>
      <c r="B23" s="4">
        <v>43196</v>
      </c>
      <c r="C23" s="4">
        <v>43250</v>
      </c>
      <c r="D23" s="5"/>
      <c r="E23" s="49"/>
      <c r="F23" s="5">
        <v>13.78</v>
      </c>
      <c r="G23" s="5">
        <f>25*24/30+25</f>
        <v>45</v>
      </c>
      <c r="H23" s="5"/>
      <c r="I23" s="5"/>
      <c r="J23" s="6">
        <f>60</f>
        <v>60</v>
      </c>
      <c r="K23" s="6">
        <v>25</v>
      </c>
      <c r="L23" s="6">
        <f t="shared" si="0"/>
        <v>24.5</v>
      </c>
    </row>
    <row r="24" spans="1:13">
      <c r="A24" s="22" t="s">
        <v>47</v>
      </c>
      <c r="B24" s="4">
        <v>43355</v>
      </c>
      <c r="C24" s="4">
        <v>43277</v>
      </c>
      <c r="D24" s="5"/>
      <c r="E24" s="49"/>
      <c r="F24" s="5">
        <v>19.98</v>
      </c>
      <c r="G24" s="5">
        <f>36*2+36/30*16</f>
        <v>91.2</v>
      </c>
      <c r="H24" s="5"/>
      <c r="I24" s="5"/>
      <c r="J24" s="6">
        <v>105</v>
      </c>
      <c r="K24" s="6">
        <v>36</v>
      </c>
      <c r="L24" s="6">
        <f t="shared" si="0"/>
        <v>48.3</v>
      </c>
    </row>
    <row r="25" spans="1:13">
      <c r="A25" s="22" t="s">
        <v>48</v>
      </c>
      <c r="B25" s="4">
        <v>43367</v>
      </c>
      <c r="C25" s="4">
        <v>43284</v>
      </c>
      <c r="D25" s="5"/>
      <c r="E25" s="49"/>
      <c r="F25" s="5">
        <v>9.1</v>
      </c>
      <c r="G25" s="5">
        <f>25+25/30*27</f>
        <v>47.5</v>
      </c>
      <c r="H25" s="5"/>
      <c r="I25" s="5"/>
      <c r="J25" s="6">
        <v>75</v>
      </c>
      <c r="K25" s="6">
        <v>25</v>
      </c>
      <c r="L25" s="6">
        <f t="shared" si="0"/>
        <v>35</v>
      </c>
    </row>
    <row r="26" spans="1:13">
      <c r="A26" s="2" t="s">
        <v>45</v>
      </c>
      <c r="B26" s="4"/>
      <c r="C26" s="4">
        <v>43286</v>
      </c>
      <c r="D26" s="5"/>
      <c r="E26" s="49"/>
      <c r="F26" s="5">
        <v>11.56</v>
      </c>
      <c r="G26" s="5"/>
      <c r="H26" s="5"/>
      <c r="I26" s="5"/>
      <c r="J26" s="6">
        <v>150</v>
      </c>
      <c r="K26" s="6">
        <v>76</v>
      </c>
      <c r="L26" s="6">
        <f t="shared" si="0"/>
        <v>51.8</v>
      </c>
      <c r="M26" s="20"/>
    </row>
    <row r="27" spans="1:13">
      <c r="A27" s="22" t="s">
        <v>49</v>
      </c>
      <c r="B27" s="4">
        <v>43367</v>
      </c>
      <c r="C27" s="4">
        <v>43291</v>
      </c>
      <c r="D27" s="5"/>
      <c r="E27" s="49"/>
      <c r="F27" s="5">
        <v>10.039999999999999</v>
      </c>
      <c r="G27" s="5">
        <f>50+25/30*14</f>
        <v>61.666666666666671</v>
      </c>
      <c r="H27" s="5"/>
      <c r="I27" s="5"/>
      <c r="J27" s="6">
        <v>70</v>
      </c>
      <c r="K27" s="6">
        <v>25</v>
      </c>
      <c r="L27" s="6">
        <f t="shared" si="0"/>
        <v>31.499999999999996</v>
      </c>
    </row>
    <row r="28" spans="1:13">
      <c r="A28" s="22" t="s">
        <v>51</v>
      </c>
      <c r="B28" s="4">
        <v>43358</v>
      </c>
      <c r="C28" s="4">
        <v>43291</v>
      </c>
      <c r="D28" s="5"/>
      <c r="E28" s="49"/>
      <c r="F28" s="5">
        <v>10.039999999999999</v>
      </c>
      <c r="G28" s="5">
        <f>50+25/30*5</f>
        <v>54.166666666666664</v>
      </c>
      <c r="H28" s="5"/>
      <c r="I28" s="5"/>
      <c r="J28" s="6">
        <v>75</v>
      </c>
      <c r="K28" s="6">
        <v>25</v>
      </c>
      <c r="L28" s="6">
        <f t="shared" si="0"/>
        <v>35</v>
      </c>
    </row>
    <row r="29" spans="1:13">
      <c r="A29" s="22" t="s">
        <v>52</v>
      </c>
      <c r="B29" s="4">
        <v>43367</v>
      </c>
      <c r="C29" s="4">
        <v>43308</v>
      </c>
      <c r="D29" s="5"/>
      <c r="E29" s="49"/>
      <c r="F29" s="5">
        <v>10.86</v>
      </c>
      <c r="G29" s="5">
        <f>25+25/30*27</f>
        <v>47.5</v>
      </c>
      <c r="H29" s="5"/>
      <c r="I29" s="5"/>
      <c r="J29" s="6">
        <v>75</v>
      </c>
      <c r="K29" s="18">
        <v>25</v>
      </c>
      <c r="L29" s="18">
        <f t="shared" si="0"/>
        <v>35</v>
      </c>
    </row>
    <row r="30" spans="1:13">
      <c r="A30" s="22" t="s">
        <v>50</v>
      </c>
      <c r="B30" s="4">
        <v>43367</v>
      </c>
      <c r="C30" s="4">
        <v>43312</v>
      </c>
      <c r="D30" s="5"/>
      <c r="E30" s="49"/>
      <c r="F30" s="5">
        <v>10.86</v>
      </c>
      <c r="G30" s="5">
        <f>25+25/30*24</f>
        <v>45</v>
      </c>
      <c r="H30" s="5"/>
      <c r="I30" s="5"/>
      <c r="J30" s="6">
        <v>70</v>
      </c>
      <c r="K30" s="18">
        <v>25</v>
      </c>
      <c r="L30" s="18">
        <f t="shared" si="0"/>
        <v>31.499999999999996</v>
      </c>
    </row>
    <row r="31" spans="1:13">
      <c r="A31" s="22" t="s">
        <v>55</v>
      </c>
      <c r="B31" s="4">
        <v>43363</v>
      </c>
      <c r="C31" s="4">
        <v>43440</v>
      </c>
      <c r="D31" s="5"/>
      <c r="E31" s="49"/>
      <c r="F31" s="5">
        <v>14.11</v>
      </c>
      <c r="G31" s="5">
        <f>25*2+25*16/30</f>
        <v>63.333333333333336</v>
      </c>
      <c r="H31" s="5"/>
      <c r="I31" s="5"/>
      <c r="J31" s="6">
        <v>75</v>
      </c>
      <c r="K31" s="18">
        <v>25</v>
      </c>
      <c r="L31" s="18">
        <f t="shared" si="0"/>
        <v>35</v>
      </c>
    </row>
    <row r="32" spans="1:13">
      <c r="A32" s="22" t="s">
        <v>54</v>
      </c>
      <c r="B32" s="4">
        <v>43167</v>
      </c>
      <c r="C32" s="4">
        <v>43455</v>
      </c>
      <c r="D32" s="5"/>
      <c r="E32" s="49"/>
      <c r="F32" s="5">
        <v>10.86</v>
      </c>
      <c r="G32" s="5">
        <f>9*25+25*13/30</f>
        <v>235.83333333333334</v>
      </c>
      <c r="H32" s="5"/>
      <c r="I32" s="5"/>
      <c r="J32" s="6">
        <v>90</v>
      </c>
      <c r="K32" s="18">
        <v>36</v>
      </c>
      <c r="L32" s="18">
        <f t="shared" si="0"/>
        <v>37.799999999999997</v>
      </c>
    </row>
    <row r="33" spans="1:13">
      <c r="A33" s="22" t="s">
        <v>57</v>
      </c>
      <c r="B33" s="4">
        <v>43478</v>
      </c>
      <c r="C33" s="4">
        <v>43536</v>
      </c>
      <c r="D33" s="5"/>
      <c r="E33" s="49"/>
      <c r="F33" s="5">
        <v>10.86</v>
      </c>
      <c r="G33" s="5">
        <v>25</v>
      </c>
      <c r="H33" s="5"/>
      <c r="I33" s="5"/>
      <c r="J33" s="6">
        <v>70</v>
      </c>
      <c r="K33" s="6">
        <v>25</v>
      </c>
      <c r="L33" s="6">
        <f t="shared" si="0"/>
        <v>31.499999999999996</v>
      </c>
    </row>
    <row r="34" spans="1:13">
      <c r="A34" s="22" t="s">
        <v>59</v>
      </c>
      <c r="B34" s="4">
        <v>43528</v>
      </c>
      <c r="C34" s="4">
        <v>43538</v>
      </c>
      <c r="D34" s="5"/>
      <c r="E34" s="49"/>
      <c r="F34" s="5">
        <v>14.92</v>
      </c>
      <c r="G34" s="5">
        <f>77/30*10</f>
        <v>25.666666666666668</v>
      </c>
      <c r="H34" s="5"/>
      <c r="I34" s="5"/>
      <c r="J34" s="6">
        <v>169</v>
      </c>
      <c r="K34" s="6">
        <f>64+11+2</f>
        <v>77</v>
      </c>
      <c r="L34" s="6">
        <f t="shared" ref="L34:L57" si="1">(J34-K34)*0.7</f>
        <v>64.399999999999991</v>
      </c>
    </row>
    <row r="35" spans="1:13">
      <c r="A35" s="22" t="s">
        <v>58</v>
      </c>
      <c r="B35" s="4">
        <v>43534</v>
      </c>
      <c r="C35" s="4">
        <v>43542</v>
      </c>
      <c r="D35" s="5"/>
      <c r="E35" s="49"/>
      <c r="F35" s="5">
        <f>10.86*2</f>
        <v>21.72</v>
      </c>
      <c r="G35" s="5">
        <v>0</v>
      </c>
      <c r="H35" s="5"/>
      <c r="I35" s="5"/>
      <c r="J35" s="6">
        <v>120</v>
      </c>
      <c r="K35" s="6">
        <f>60+11</f>
        <v>71</v>
      </c>
      <c r="L35" s="6">
        <f t="shared" si="1"/>
        <v>34.299999999999997</v>
      </c>
    </row>
    <row r="36" spans="1:13">
      <c r="A36" s="22" t="s">
        <v>61</v>
      </c>
      <c r="B36" s="4">
        <v>43482</v>
      </c>
      <c r="C36" s="4">
        <v>43542</v>
      </c>
      <c r="D36" s="5"/>
      <c r="E36" s="49"/>
      <c r="F36" s="5">
        <v>11.1</v>
      </c>
      <c r="G36" s="5">
        <f>25*2</f>
        <v>50</v>
      </c>
      <c r="H36" s="5"/>
      <c r="I36" s="5"/>
      <c r="J36" s="6">
        <v>70</v>
      </c>
      <c r="K36" s="6">
        <v>26</v>
      </c>
      <c r="L36" s="6">
        <f t="shared" si="1"/>
        <v>30.799999999999997</v>
      </c>
    </row>
    <row r="37" spans="1:13">
      <c r="A37" s="22" t="s">
        <v>63</v>
      </c>
      <c r="B37" s="4">
        <v>43593</v>
      </c>
      <c r="C37" s="4">
        <v>43605</v>
      </c>
      <c r="D37" s="5"/>
      <c r="E37" s="49"/>
      <c r="F37" s="5">
        <f>10.86*2+20</f>
        <v>41.72</v>
      </c>
      <c r="G37" s="5">
        <f>18/30*12</f>
        <v>7.1999999999999993</v>
      </c>
      <c r="H37" s="5"/>
      <c r="I37" s="5"/>
      <c r="J37" s="6">
        <v>100</v>
      </c>
      <c r="K37" s="6">
        <f>11+7</f>
        <v>18</v>
      </c>
      <c r="L37" s="6">
        <f t="shared" si="1"/>
        <v>57.4</v>
      </c>
    </row>
    <row r="38" spans="1:13">
      <c r="A38" s="22" t="s">
        <v>67</v>
      </c>
      <c r="B38" s="4">
        <v>43600</v>
      </c>
      <c r="C38" s="4">
        <v>43629</v>
      </c>
      <c r="D38" s="5"/>
      <c r="E38" s="49"/>
      <c r="F38" s="5">
        <f>10.86*2</f>
        <v>21.72</v>
      </c>
      <c r="G38" s="5">
        <f>22/30*58</f>
        <v>42.533333333333331</v>
      </c>
      <c r="H38" s="5">
        <v>50</v>
      </c>
      <c r="I38" s="5">
        <f>F38+G38+H38</f>
        <v>114.25333333333333</v>
      </c>
      <c r="J38" s="6">
        <v>60</v>
      </c>
      <c r="K38" s="6">
        <v>25</v>
      </c>
      <c r="L38" s="6">
        <v>0</v>
      </c>
    </row>
    <row r="39" spans="1:13">
      <c r="A39" s="22" t="s">
        <v>66</v>
      </c>
      <c r="B39" s="4">
        <v>43600</v>
      </c>
      <c r="C39" s="4">
        <v>43629</v>
      </c>
      <c r="D39" s="5"/>
      <c r="E39" s="49"/>
      <c r="F39" s="5">
        <f>10.86</f>
        <v>10.86</v>
      </c>
      <c r="G39" s="5">
        <f>39/30*58</f>
        <v>75.400000000000006</v>
      </c>
      <c r="H39" s="5"/>
      <c r="I39" s="5">
        <f>F39+G39</f>
        <v>86.26</v>
      </c>
      <c r="J39" s="6">
        <v>110</v>
      </c>
      <c r="K39" s="6">
        <f>25+11+3</f>
        <v>39</v>
      </c>
      <c r="L39" s="6">
        <v>0</v>
      </c>
      <c r="M39" t="s">
        <v>73</v>
      </c>
    </row>
    <row r="40" spans="1:13">
      <c r="A40" s="22" t="s">
        <v>64</v>
      </c>
      <c r="B40" s="4">
        <v>43627</v>
      </c>
      <c r="C40" s="4">
        <v>43629</v>
      </c>
      <c r="D40" s="5"/>
      <c r="E40" s="49"/>
      <c r="F40" s="5">
        <v>10.86</v>
      </c>
      <c r="G40" s="5">
        <f>25/30*2</f>
        <v>1.6666666666666667</v>
      </c>
      <c r="H40" s="5"/>
      <c r="I40" s="5">
        <f>F40+G40</f>
        <v>12.526666666666666</v>
      </c>
      <c r="J40" s="6">
        <v>90</v>
      </c>
      <c r="K40" s="6">
        <v>25</v>
      </c>
      <c r="L40" s="6">
        <f t="shared" si="1"/>
        <v>45.5</v>
      </c>
    </row>
    <row r="41" spans="1:13">
      <c r="A41" s="22" t="s">
        <v>65</v>
      </c>
      <c r="B41" s="4">
        <v>43622</v>
      </c>
      <c r="C41" s="4">
        <v>43650</v>
      </c>
      <c r="D41" s="5"/>
      <c r="E41" s="49"/>
      <c r="F41" s="5">
        <v>10.86</v>
      </c>
      <c r="G41" s="5"/>
      <c r="H41" s="5"/>
      <c r="I41" s="5"/>
      <c r="J41" s="6">
        <v>120</v>
      </c>
      <c r="K41" s="6">
        <v>60</v>
      </c>
      <c r="L41" s="6">
        <f t="shared" si="1"/>
        <v>42</v>
      </c>
    </row>
    <row r="42" spans="1:13">
      <c r="A42" s="22" t="s">
        <v>71</v>
      </c>
      <c r="B42" s="4">
        <v>43635</v>
      </c>
      <c r="C42" s="4">
        <v>43662</v>
      </c>
      <c r="D42" s="5"/>
      <c r="E42" s="49"/>
      <c r="F42" s="5">
        <f>10.86*2</f>
        <v>21.72</v>
      </c>
      <c r="G42" s="5"/>
      <c r="H42" s="5"/>
      <c r="I42" s="5"/>
      <c r="J42" s="6">
        <v>70</v>
      </c>
      <c r="K42" s="6">
        <v>26</v>
      </c>
      <c r="L42" s="6">
        <f t="shared" si="1"/>
        <v>30.799999999999997</v>
      </c>
      <c r="M42" t="s">
        <v>72</v>
      </c>
    </row>
    <row r="43" spans="1:13">
      <c r="A43" s="22" t="s">
        <v>77</v>
      </c>
      <c r="B43" s="4">
        <v>43682</v>
      </c>
      <c r="C43" s="4">
        <v>43682</v>
      </c>
      <c r="D43" s="5"/>
      <c r="E43" s="49"/>
      <c r="F43" s="5"/>
      <c r="G43" s="5"/>
      <c r="H43" s="5"/>
      <c r="I43" s="5"/>
      <c r="J43" s="6">
        <v>10</v>
      </c>
      <c r="K43" s="6">
        <v>1</v>
      </c>
      <c r="L43" s="6">
        <f t="shared" si="1"/>
        <v>6.3</v>
      </c>
    </row>
    <row r="44" spans="1:13">
      <c r="A44" s="2" t="s">
        <v>74</v>
      </c>
      <c r="B44" s="4">
        <v>43661</v>
      </c>
      <c r="C44" s="4">
        <v>43711</v>
      </c>
      <c r="D44" s="5"/>
      <c r="E44" s="49"/>
      <c r="F44" s="5">
        <v>10.86</v>
      </c>
      <c r="G44" s="5">
        <f>36/30*48</f>
        <v>57.599999999999994</v>
      </c>
      <c r="H44" s="5"/>
      <c r="I44" s="5"/>
      <c r="J44" s="6">
        <v>105</v>
      </c>
      <c r="K44" s="6">
        <v>36</v>
      </c>
      <c r="L44" s="6">
        <f t="shared" si="1"/>
        <v>48.3</v>
      </c>
    </row>
    <row r="45" spans="1:13">
      <c r="A45" s="2" t="s">
        <v>75</v>
      </c>
      <c r="B45" s="4">
        <v>43656</v>
      </c>
      <c r="C45" s="4">
        <v>43711</v>
      </c>
      <c r="D45" s="5"/>
      <c r="E45" s="49"/>
      <c r="F45" s="5">
        <v>10.86</v>
      </c>
      <c r="G45" s="5">
        <f>36/30*48</f>
        <v>57.599999999999994</v>
      </c>
      <c r="H45" s="5"/>
      <c r="I45" s="5"/>
      <c r="J45" s="6">
        <v>105</v>
      </c>
      <c r="K45" s="6">
        <v>36</v>
      </c>
      <c r="L45" s="18">
        <f t="shared" si="1"/>
        <v>48.3</v>
      </c>
    </row>
    <row r="46" spans="1:13">
      <c r="A46" s="2" t="s">
        <v>76</v>
      </c>
      <c r="B46" s="4">
        <v>43677</v>
      </c>
      <c r="C46" s="4">
        <v>43713</v>
      </c>
      <c r="D46" s="5"/>
      <c r="E46" s="49"/>
      <c r="F46" s="5">
        <v>24.06</v>
      </c>
      <c r="G46" s="5">
        <f>80/30*35</f>
        <v>93.333333333333329</v>
      </c>
      <c r="H46" s="5">
        <v>40</v>
      </c>
      <c r="I46" s="5"/>
      <c r="J46" s="6">
        <v>149</v>
      </c>
      <c r="K46" s="6">
        <v>80</v>
      </c>
      <c r="L46" s="6">
        <f t="shared" si="1"/>
        <v>48.3</v>
      </c>
      <c r="M46" t="s">
        <v>79</v>
      </c>
    </row>
    <row r="47" spans="1:13">
      <c r="A47" s="22" t="s">
        <v>78</v>
      </c>
      <c r="B47" s="4">
        <v>43747</v>
      </c>
      <c r="C47" s="4">
        <v>43789</v>
      </c>
      <c r="D47" s="5"/>
      <c r="E47" s="49"/>
      <c r="F47" s="5">
        <f>9.51+9.44</f>
        <v>18.95</v>
      </c>
      <c r="G47" s="5">
        <f>52/30*41</f>
        <v>71.066666666666663</v>
      </c>
      <c r="H47" s="5"/>
      <c r="I47" s="5"/>
      <c r="J47" s="17">
        <v>99</v>
      </c>
      <c r="K47" s="18">
        <f>52</f>
        <v>52</v>
      </c>
      <c r="L47" s="6">
        <f t="shared" si="1"/>
        <v>32.9</v>
      </c>
    </row>
    <row r="48" spans="1:13">
      <c r="A48" s="2" t="s">
        <v>81</v>
      </c>
      <c r="B48" s="4">
        <v>43788</v>
      </c>
      <c r="C48" s="4">
        <v>43865</v>
      </c>
      <c r="D48" s="5"/>
      <c r="E48" s="49"/>
      <c r="F48" s="5">
        <v>9.14</v>
      </c>
      <c r="G48" s="5">
        <f>25/30*45</f>
        <v>37.5</v>
      </c>
      <c r="H48" s="5"/>
      <c r="I48" s="5"/>
      <c r="J48" s="6">
        <v>90</v>
      </c>
      <c r="K48" s="6">
        <v>25</v>
      </c>
      <c r="L48" s="27">
        <f t="shared" si="1"/>
        <v>45.5</v>
      </c>
    </row>
    <row r="49" spans="1:14">
      <c r="A49" s="22" t="s">
        <v>87</v>
      </c>
      <c r="B49" s="35">
        <v>43878</v>
      </c>
      <c r="C49" s="35">
        <v>43892</v>
      </c>
      <c r="D49" s="5"/>
      <c r="E49" s="49"/>
      <c r="F49" s="5">
        <v>12.19</v>
      </c>
      <c r="G49" s="5">
        <v>5.5</v>
      </c>
      <c r="H49" s="5"/>
      <c r="I49" s="5"/>
      <c r="J49" s="6">
        <v>25</v>
      </c>
      <c r="K49" s="6">
        <v>11</v>
      </c>
      <c r="L49" s="6">
        <f t="shared" si="1"/>
        <v>9.7999999999999989</v>
      </c>
    </row>
    <row r="50" spans="1:14">
      <c r="A50" s="22" t="s">
        <v>89</v>
      </c>
      <c r="B50" s="35">
        <v>43908</v>
      </c>
      <c r="C50" s="35">
        <v>43893</v>
      </c>
      <c r="D50" s="5"/>
      <c r="E50" s="49"/>
      <c r="F50" s="5">
        <v>9.6</v>
      </c>
      <c r="G50" s="5">
        <v>5.5</v>
      </c>
      <c r="H50" s="5"/>
      <c r="I50" s="5"/>
      <c r="J50" s="6">
        <v>25</v>
      </c>
      <c r="K50" s="6">
        <v>11</v>
      </c>
      <c r="L50" s="6">
        <f t="shared" si="1"/>
        <v>9.7999999999999989</v>
      </c>
    </row>
    <row r="51" spans="1:14">
      <c r="A51" s="22" t="s">
        <v>85</v>
      </c>
      <c r="B51" s="35">
        <v>43881</v>
      </c>
      <c r="C51" s="35">
        <v>43895</v>
      </c>
      <c r="D51" s="5"/>
      <c r="E51" s="49"/>
      <c r="F51" s="5">
        <v>9.14</v>
      </c>
      <c r="G51" s="5">
        <f>11/30*15</f>
        <v>5.5</v>
      </c>
      <c r="H51" s="5"/>
      <c r="I51" s="5"/>
      <c r="J51" s="6">
        <v>25</v>
      </c>
      <c r="K51" s="6">
        <v>11</v>
      </c>
      <c r="L51" s="6">
        <f t="shared" si="1"/>
        <v>9.7999999999999989</v>
      </c>
    </row>
    <row r="52" spans="1:14">
      <c r="A52" s="22" t="s">
        <v>86</v>
      </c>
      <c r="B52" s="35">
        <v>43882</v>
      </c>
      <c r="C52" s="35">
        <v>43896</v>
      </c>
      <c r="D52" s="5"/>
      <c r="E52" s="49"/>
      <c r="F52" s="5">
        <v>12.19</v>
      </c>
      <c r="G52" s="5">
        <f>22/2</f>
        <v>11</v>
      </c>
      <c r="H52" s="5"/>
      <c r="I52" s="5"/>
      <c r="J52" s="6">
        <v>60</v>
      </c>
      <c r="K52" s="6">
        <v>22</v>
      </c>
      <c r="L52" s="6">
        <f t="shared" si="1"/>
        <v>26.599999999999998</v>
      </c>
    </row>
    <row r="53" spans="1:14">
      <c r="A53" s="22" t="s">
        <v>82</v>
      </c>
      <c r="B53" s="45">
        <v>40235</v>
      </c>
      <c r="C53" s="35">
        <v>43901</v>
      </c>
      <c r="D53" s="5"/>
      <c r="E53" s="49"/>
      <c r="F53" s="5">
        <v>9.6</v>
      </c>
      <c r="G53" s="5">
        <f>11/2</f>
        <v>5.5</v>
      </c>
      <c r="H53" s="5"/>
      <c r="I53" s="5"/>
      <c r="J53" s="6">
        <v>25</v>
      </c>
      <c r="K53" s="6">
        <v>11</v>
      </c>
      <c r="L53" s="6">
        <f t="shared" si="1"/>
        <v>9.7999999999999989</v>
      </c>
    </row>
    <row r="54" spans="1:14">
      <c r="A54" s="22" t="s">
        <v>84</v>
      </c>
      <c r="B54" s="35">
        <v>43889</v>
      </c>
      <c r="C54" s="35">
        <v>43903</v>
      </c>
      <c r="D54" s="5"/>
      <c r="E54" s="49"/>
      <c r="F54" s="5">
        <v>9.14</v>
      </c>
      <c r="G54" s="5">
        <f>11/30*15</f>
        <v>5.5</v>
      </c>
      <c r="H54" s="5"/>
      <c r="I54" s="5"/>
      <c r="J54" s="6">
        <v>25</v>
      </c>
      <c r="K54" s="6">
        <v>11</v>
      </c>
      <c r="L54" s="6">
        <f t="shared" si="1"/>
        <v>9.7999999999999989</v>
      </c>
    </row>
    <row r="55" spans="1:14">
      <c r="A55" s="22" t="s">
        <v>80</v>
      </c>
      <c r="B55" s="35">
        <v>43873</v>
      </c>
      <c r="C55" s="35">
        <v>43910</v>
      </c>
      <c r="D55" s="5"/>
      <c r="E55" s="49"/>
      <c r="F55" s="5">
        <v>21.84</v>
      </c>
      <c r="G55" s="5">
        <f>56/30*38</f>
        <v>70.933333333333337</v>
      </c>
      <c r="H55" s="5"/>
      <c r="I55" s="5"/>
      <c r="J55" s="6">
        <v>120</v>
      </c>
      <c r="K55" s="6">
        <v>56</v>
      </c>
      <c r="L55" s="6">
        <f t="shared" si="1"/>
        <v>44.8</v>
      </c>
    </row>
    <row r="56" spans="1:14">
      <c r="A56" s="22" t="s">
        <v>83</v>
      </c>
      <c r="B56" s="35">
        <v>43872</v>
      </c>
      <c r="C56" s="35">
        <v>43913</v>
      </c>
      <c r="D56" s="5"/>
      <c r="E56" s="49"/>
      <c r="F56" s="5">
        <v>12.24</v>
      </c>
      <c r="G56" s="5">
        <f>45/30*42</f>
        <v>63</v>
      </c>
      <c r="H56" s="5"/>
      <c r="I56" s="5"/>
      <c r="J56" s="6">
        <v>85</v>
      </c>
      <c r="K56" s="6">
        <v>45</v>
      </c>
      <c r="L56" s="6">
        <f t="shared" si="1"/>
        <v>28</v>
      </c>
    </row>
    <row r="57" spans="1:14">
      <c r="A57" s="22" t="s">
        <v>88</v>
      </c>
      <c r="B57" s="35">
        <v>43855</v>
      </c>
      <c r="C57" s="35">
        <v>43941</v>
      </c>
      <c r="D57" s="5"/>
      <c r="E57" s="49"/>
      <c r="F57" s="5">
        <v>13.93</v>
      </c>
      <c r="G57" s="5">
        <f>56/30*85</f>
        <v>158.66666666666666</v>
      </c>
      <c r="H57" s="5"/>
      <c r="I57" s="5"/>
      <c r="J57" s="6">
        <v>110</v>
      </c>
      <c r="K57" s="6">
        <v>56</v>
      </c>
      <c r="L57" s="6">
        <f t="shared" si="1"/>
        <v>37.799999999999997</v>
      </c>
    </row>
    <row r="58" spans="1:14">
      <c r="A58" s="22" t="s">
        <v>90</v>
      </c>
      <c r="B58" s="35" t="s">
        <v>96</v>
      </c>
      <c r="C58" s="35">
        <v>44015</v>
      </c>
      <c r="D58" s="5" t="s">
        <v>160</v>
      </c>
      <c r="E58" s="49">
        <v>12.5</v>
      </c>
      <c r="F58" s="5">
        <v>11.29</v>
      </c>
      <c r="G58" s="5">
        <f>100</f>
        <v>100</v>
      </c>
      <c r="H58" s="5"/>
      <c r="I58" s="5"/>
      <c r="J58" s="6">
        <v>75</v>
      </c>
      <c r="K58" s="6">
        <f>25+11</f>
        <v>36</v>
      </c>
      <c r="L58" s="6">
        <f>12.5+(62.5-K58)*0.7</f>
        <v>31.049999999999997</v>
      </c>
      <c r="N58" s="41"/>
    </row>
    <row r="59" spans="1:14">
      <c r="A59" s="22" t="s">
        <v>97</v>
      </c>
      <c r="B59" s="35">
        <v>43990</v>
      </c>
      <c r="C59" s="35">
        <v>44036</v>
      </c>
      <c r="D59" s="5"/>
      <c r="E59" s="49"/>
      <c r="F59" s="5">
        <v>8.75</v>
      </c>
      <c r="G59" s="5">
        <f>56/30*46</f>
        <v>85.866666666666674</v>
      </c>
      <c r="H59" s="5"/>
      <c r="I59" s="5"/>
      <c r="J59" s="6">
        <v>110</v>
      </c>
      <c r="K59" s="6">
        <f>45+11</f>
        <v>56</v>
      </c>
      <c r="L59" s="6">
        <f>(J59-K59)*0.7</f>
        <v>37.799999999999997</v>
      </c>
    </row>
    <row r="60" spans="1:14">
      <c r="A60" s="22" t="s">
        <v>95</v>
      </c>
      <c r="B60" s="35">
        <v>44028</v>
      </c>
      <c r="C60" s="35">
        <v>44040</v>
      </c>
      <c r="D60" s="5"/>
      <c r="E60" s="49"/>
      <c r="F60" s="5">
        <v>8.75</v>
      </c>
      <c r="G60" s="5">
        <f>41/30*12</f>
        <v>16.399999999999999</v>
      </c>
      <c r="H60" s="5"/>
      <c r="I60" s="5"/>
      <c r="J60" s="6">
        <v>60</v>
      </c>
      <c r="K60" s="6">
        <v>41</v>
      </c>
      <c r="L60" s="6">
        <f>(J60-K60)*0.7</f>
        <v>13.299999999999999</v>
      </c>
    </row>
    <row r="61" spans="1:14">
      <c r="A61" s="22" t="s">
        <v>93</v>
      </c>
      <c r="B61" s="35">
        <v>44043</v>
      </c>
      <c r="C61" s="35">
        <v>44043</v>
      </c>
      <c r="D61" s="5" t="s">
        <v>160</v>
      </c>
      <c r="E61" s="49">
        <v>15</v>
      </c>
      <c r="F61" s="5">
        <v>27.02</v>
      </c>
      <c r="G61" s="5">
        <v>0</v>
      </c>
      <c r="H61" s="5"/>
      <c r="I61" s="5"/>
      <c r="J61" s="6">
        <v>160</v>
      </c>
      <c r="K61" s="6">
        <f>45+22</f>
        <v>67</v>
      </c>
      <c r="L61" s="6">
        <f>15+78*0.7</f>
        <v>69.599999999999994</v>
      </c>
      <c r="N61" s="41"/>
    </row>
    <row r="62" spans="1:14">
      <c r="A62" s="22" t="s">
        <v>98</v>
      </c>
      <c r="B62" s="35">
        <v>44048</v>
      </c>
      <c r="C62" s="35">
        <v>44081</v>
      </c>
      <c r="D62" s="5" t="s">
        <v>160</v>
      </c>
      <c r="E62" s="49">
        <v>17.5</v>
      </c>
      <c r="F62" s="5">
        <v>27.88</v>
      </c>
      <c r="G62" s="5">
        <f>58/30*32</f>
        <v>61.866666666666667</v>
      </c>
      <c r="H62" s="5">
        <v>125</v>
      </c>
      <c r="I62" s="5"/>
      <c r="J62" s="6">
        <v>140</v>
      </c>
      <c r="K62" s="6">
        <f>25+33</f>
        <v>58</v>
      </c>
      <c r="L62" s="6">
        <f>17.5+64.5*0.7</f>
        <v>62.65</v>
      </c>
      <c r="N62" s="41"/>
    </row>
    <row r="63" spans="1:14">
      <c r="A63" s="22" t="s">
        <v>91</v>
      </c>
      <c r="B63" s="35">
        <v>44011</v>
      </c>
      <c r="C63" s="35">
        <v>44084</v>
      </c>
      <c r="D63" s="5"/>
      <c r="E63" s="49"/>
      <c r="F63" s="5">
        <v>11.29</v>
      </c>
      <c r="G63" s="5">
        <f>25/30*71</f>
        <v>59.166666666666671</v>
      </c>
      <c r="H63" s="5"/>
      <c r="I63" s="5"/>
      <c r="J63" s="6">
        <v>40</v>
      </c>
      <c r="K63" s="6">
        <v>25</v>
      </c>
      <c r="L63" s="6">
        <f>(J63-K63)*0.7</f>
        <v>10.5</v>
      </c>
    </row>
    <row r="64" spans="1:14">
      <c r="A64" s="2" t="s">
        <v>99</v>
      </c>
      <c r="B64" s="35">
        <v>44084</v>
      </c>
      <c r="C64" s="35">
        <v>44105</v>
      </c>
      <c r="D64" s="5" t="s">
        <v>160</v>
      </c>
      <c r="E64" s="49">
        <v>5</v>
      </c>
      <c r="F64" s="5">
        <v>12.24</v>
      </c>
      <c r="G64" s="5">
        <f>25/30*20</f>
        <v>16.666666666666668</v>
      </c>
      <c r="H64" s="5"/>
      <c r="I64" s="5"/>
      <c r="J64" s="43">
        <v>40</v>
      </c>
      <c r="K64" s="6">
        <v>22</v>
      </c>
      <c r="L64" s="6">
        <f>5+13*0.7</f>
        <v>14.1</v>
      </c>
      <c r="N64" s="41"/>
    </row>
    <row r="65" spans="1:14">
      <c r="A65" s="2" t="s">
        <v>102</v>
      </c>
      <c r="B65" s="4" t="s">
        <v>103</v>
      </c>
      <c r="C65" s="4">
        <v>44110</v>
      </c>
      <c r="D65" s="5" t="s">
        <v>160</v>
      </c>
      <c r="E65" s="49">
        <v>10</v>
      </c>
      <c r="F65" s="5">
        <v>36.65</v>
      </c>
      <c r="G65" s="5">
        <f>115/30*26</f>
        <v>99.666666666666671</v>
      </c>
      <c r="H65" s="5"/>
      <c r="I65" s="5"/>
      <c r="J65" s="6">
        <v>180</v>
      </c>
      <c r="K65" s="6">
        <v>115</v>
      </c>
      <c r="L65" s="6">
        <f>10+55*0.7</f>
        <v>48.5</v>
      </c>
      <c r="N65" s="41"/>
    </row>
    <row r="66" spans="1:14">
      <c r="A66" s="2" t="s">
        <v>94</v>
      </c>
      <c r="B66" s="35">
        <v>44124</v>
      </c>
      <c r="C66" s="35">
        <v>44124</v>
      </c>
      <c r="D66" s="5"/>
      <c r="E66" s="49"/>
      <c r="F66" s="5">
        <v>7.25</v>
      </c>
      <c r="G66" s="5">
        <v>0</v>
      </c>
      <c r="H66" s="5"/>
      <c r="I66" s="5"/>
      <c r="J66" s="6">
        <v>25</v>
      </c>
      <c r="K66" s="6">
        <v>11</v>
      </c>
      <c r="L66" s="6">
        <f>(J66-K66)*0.7</f>
        <v>9.7999999999999989</v>
      </c>
    </row>
    <row r="67" spans="1:14">
      <c r="A67" s="2" t="s">
        <v>100</v>
      </c>
      <c r="B67" s="4">
        <v>44018</v>
      </c>
      <c r="C67" s="4">
        <v>44124</v>
      </c>
      <c r="D67" s="40"/>
      <c r="E67" s="2"/>
      <c r="F67" s="5">
        <v>9.5</v>
      </c>
      <c r="G67" s="5">
        <f>25/30*104</f>
        <v>86.666666666666671</v>
      </c>
      <c r="H67" s="5"/>
      <c r="I67" s="5"/>
      <c r="J67" s="6">
        <v>70</v>
      </c>
      <c r="K67" s="6">
        <v>25</v>
      </c>
      <c r="L67" s="6">
        <f>(J67-K67)*0.7</f>
        <v>31.499999999999996</v>
      </c>
    </row>
    <row r="68" spans="1:14">
      <c r="A68" s="2" t="s">
        <v>101</v>
      </c>
      <c r="B68" s="4">
        <v>44070</v>
      </c>
      <c r="C68" s="4">
        <v>44131</v>
      </c>
      <c r="D68" s="40"/>
      <c r="E68" s="2"/>
      <c r="F68" s="5">
        <v>13.93</v>
      </c>
      <c r="G68" s="5">
        <f>71/30*60</f>
        <v>142</v>
      </c>
      <c r="H68" s="5"/>
      <c r="I68" s="5"/>
      <c r="J68" s="6">
        <v>120</v>
      </c>
      <c r="K68" s="6">
        <f>60+11</f>
        <v>71</v>
      </c>
      <c r="L68" s="6">
        <f>(J68-K68)*0.7</f>
        <v>34.299999999999997</v>
      </c>
    </row>
    <row r="69" spans="1:14">
      <c r="A69" s="22" t="s">
        <v>104</v>
      </c>
      <c r="B69" s="4">
        <v>44159</v>
      </c>
      <c r="C69" s="4">
        <v>44187</v>
      </c>
      <c r="D69" s="40"/>
      <c r="E69" s="2"/>
      <c r="F69" s="5">
        <v>13.93</v>
      </c>
      <c r="G69" s="5">
        <f>36/30*28</f>
        <v>33.6</v>
      </c>
      <c r="H69" s="5"/>
      <c r="I69" s="5"/>
      <c r="J69" s="6">
        <v>110</v>
      </c>
      <c r="K69" s="6">
        <f>25+11</f>
        <v>36</v>
      </c>
      <c r="L69" s="6">
        <f>(J69-K69)*0.7</f>
        <v>51.8</v>
      </c>
    </row>
    <row r="70" spans="1:14">
      <c r="A70" s="39" t="s">
        <v>120</v>
      </c>
      <c r="B70" s="15">
        <v>44169</v>
      </c>
      <c r="C70" s="15">
        <v>44208</v>
      </c>
      <c r="D70" s="5" t="s">
        <v>160</v>
      </c>
      <c r="E70" s="34">
        <v>10</v>
      </c>
      <c r="F70" s="37"/>
      <c r="G70" s="5">
        <f>41/30*38</f>
        <v>51.933333333333337</v>
      </c>
      <c r="H70" s="5"/>
      <c r="I70" s="5"/>
      <c r="J70" s="17">
        <v>70</v>
      </c>
      <c r="K70" s="26">
        <v>45</v>
      </c>
      <c r="L70" s="37">
        <f>10+(60-45)*0.7</f>
        <v>20.5</v>
      </c>
      <c r="M70" s="1" t="s">
        <v>145</v>
      </c>
    </row>
    <row r="71" spans="1:14">
      <c r="A71" s="22" t="s">
        <v>108</v>
      </c>
      <c r="B71" s="4">
        <v>44185</v>
      </c>
      <c r="C71" s="4">
        <v>44242</v>
      </c>
      <c r="D71" s="5" t="s">
        <v>160</v>
      </c>
      <c r="E71" s="49">
        <v>20</v>
      </c>
      <c r="F71" s="5">
        <v>26.48</v>
      </c>
      <c r="G71" s="5">
        <f>50/30*55</f>
        <v>91.666666666666671</v>
      </c>
      <c r="H71" s="5">
        <v>160</v>
      </c>
      <c r="I71" s="5"/>
      <c r="J71" s="6">
        <v>190</v>
      </c>
      <c r="K71" s="6">
        <v>61</v>
      </c>
      <c r="L71" s="5">
        <f>(20+(170-61)*0.7)</f>
        <v>96.3</v>
      </c>
      <c r="M71" s="1" t="s">
        <v>145</v>
      </c>
    </row>
    <row r="72" spans="1:14">
      <c r="A72" s="22" t="s">
        <v>109</v>
      </c>
      <c r="B72" s="4">
        <v>44209</v>
      </c>
      <c r="C72" s="4">
        <v>44250</v>
      </c>
      <c r="D72" s="5" t="s">
        <v>160</v>
      </c>
      <c r="E72" s="49">
        <v>22.5</v>
      </c>
      <c r="F72" s="5">
        <v>22.83</v>
      </c>
      <c r="G72" s="5">
        <f>100/30*40</f>
        <v>133.33333333333334</v>
      </c>
      <c r="H72" s="5">
        <v>125</v>
      </c>
      <c r="I72" s="5"/>
      <c r="J72" s="6">
        <v>210</v>
      </c>
      <c r="K72" s="6">
        <v>100</v>
      </c>
      <c r="L72" s="6">
        <f>(22.5+87.5*0.7)</f>
        <v>83.75</v>
      </c>
    </row>
    <row r="73" spans="1:14">
      <c r="A73" s="2" t="s">
        <v>113</v>
      </c>
      <c r="B73" s="4">
        <v>44245</v>
      </c>
      <c r="C73" s="4">
        <v>44271</v>
      </c>
      <c r="D73" s="5" t="s">
        <v>160</v>
      </c>
      <c r="E73" s="49">
        <v>15</v>
      </c>
      <c r="F73" s="5">
        <v>26.76</v>
      </c>
      <c r="G73" s="5">
        <f>67/30*28</f>
        <v>62.533333333333331</v>
      </c>
      <c r="H73" s="5"/>
      <c r="I73" s="5"/>
      <c r="J73" s="6">
        <v>140</v>
      </c>
      <c r="K73" s="6">
        <v>67</v>
      </c>
      <c r="L73" s="6">
        <f>(15+0.7*58)</f>
        <v>55.599999999999994</v>
      </c>
    </row>
    <row r="74" spans="1:14">
      <c r="A74" s="2" t="s">
        <v>114</v>
      </c>
      <c r="B74" s="4">
        <v>44222</v>
      </c>
      <c r="C74" s="4">
        <v>44279</v>
      </c>
      <c r="D74" s="5" t="s">
        <v>160</v>
      </c>
      <c r="E74" s="49">
        <v>12.5</v>
      </c>
      <c r="F74" s="5">
        <v>13.4</v>
      </c>
      <c r="G74" s="5">
        <f>56/30*58</f>
        <v>108.26666666666667</v>
      </c>
      <c r="H74" s="5">
        <v>100</v>
      </c>
      <c r="I74" s="5"/>
      <c r="J74" s="6">
        <v>140</v>
      </c>
      <c r="K74" s="6">
        <v>56</v>
      </c>
      <c r="L74" s="5">
        <f>(12.5+71.5*0.7)</f>
        <v>62.55</v>
      </c>
      <c r="M74" s="1" t="s">
        <v>145</v>
      </c>
    </row>
    <row r="75" spans="1:14">
      <c r="A75" s="2" t="s">
        <v>112</v>
      </c>
      <c r="B75" s="4">
        <v>44270</v>
      </c>
      <c r="C75" s="4">
        <v>44286</v>
      </c>
      <c r="D75" s="5" t="s">
        <v>160</v>
      </c>
      <c r="E75" s="49">
        <v>17.5</v>
      </c>
      <c r="F75" s="5">
        <v>31.96</v>
      </c>
      <c r="G75" s="5">
        <f>55/30*16</f>
        <v>29.333333333333332</v>
      </c>
      <c r="H75" s="5">
        <v>75</v>
      </c>
      <c r="I75" s="5"/>
      <c r="J75" s="6">
        <v>100</v>
      </c>
      <c r="K75" s="6">
        <v>55</v>
      </c>
      <c r="L75" s="6">
        <f>(17.5+27.5*0.7)</f>
        <v>36.75</v>
      </c>
    </row>
    <row r="76" spans="1:14">
      <c r="A76" s="2" t="s">
        <v>119</v>
      </c>
      <c r="B76" s="4">
        <v>44281</v>
      </c>
      <c r="C76" s="4">
        <v>44316</v>
      </c>
      <c r="D76" s="40"/>
      <c r="E76" s="2"/>
      <c r="F76" s="5">
        <v>14.26</v>
      </c>
      <c r="G76" s="5">
        <f>45/30*34</f>
        <v>51</v>
      </c>
      <c r="H76" s="5"/>
      <c r="I76" s="5"/>
      <c r="J76" s="6">
        <v>110</v>
      </c>
      <c r="K76" s="6">
        <v>45</v>
      </c>
      <c r="L76" s="6">
        <f>(65*0.7)</f>
        <v>45.5</v>
      </c>
    </row>
    <row r="77" spans="1:14">
      <c r="A77" s="22" t="s">
        <v>121</v>
      </c>
      <c r="B77" s="4">
        <v>44316</v>
      </c>
      <c r="C77" s="4">
        <v>44354</v>
      </c>
      <c r="D77" s="40"/>
      <c r="E77" s="2"/>
      <c r="F77" s="5">
        <v>15.15</v>
      </c>
      <c r="G77" s="5">
        <f>36/30*37</f>
        <v>44.4</v>
      </c>
      <c r="H77" s="5"/>
      <c r="I77" s="5"/>
      <c r="J77" s="6">
        <v>110</v>
      </c>
      <c r="K77" s="6">
        <v>36</v>
      </c>
      <c r="L77" s="5">
        <f>(J77-K77)*0.7</f>
        <v>51.8</v>
      </c>
      <c r="M77" s="1" t="s">
        <v>145</v>
      </c>
    </row>
    <row r="78" spans="1:14">
      <c r="A78" s="22" t="s">
        <v>126</v>
      </c>
      <c r="B78" s="4">
        <v>44336</v>
      </c>
      <c r="C78" s="4">
        <v>44370</v>
      </c>
      <c r="D78" s="5" t="s">
        <v>161</v>
      </c>
      <c r="E78" s="49">
        <v>17.5</v>
      </c>
      <c r="F78" s="5">
        <v>35.78</v>
      </c>
      <c r="G78" s="5">
        <f>58/30*33</f>
        <v>63.8</v>
      </c>
      <c r="H78" s="5">
        <v>50</v>
      </c>
      <c r="I78" s="5"/>
      <c r="J78" s="6">
        <v>150</v>
      </c>
      <c r="K78" s="6">
        <v>58</v>
      </c>
      <c r="L78" s="6">
        <f>(17.5+74.5*0.7)</f>
        <v>69.650000000000006</v>
      </c>
    </row>
    <row r="79" spans="1:14">
      <c r="A79" s="44" t="s">
        <v>125</v>
      </c>
      <c r="B79" s="4">
        <v>44342</v>
      </c>
      <c r="C79" s="4">
        <v>44386</v>
      </c>
      <c r="D79" s="5" t="s">
        <v>160</v>
      </c>
      <c r="E79" s="49">
        <v>12.5</v>
      </c>
      <c r="F79" s="5">
        <v>15.46</v>
      </c>
      <c r="G79" s="5">
        <f>36/30*43</f>
        <v>51.6</v>
      </c>
      <c r="H79" s="5">
        <f>50+45</f>
        <v>95</v>
      </c>
      <c r="I79" s="5"/>
      <c r="J79" s="6">
        <v>110</v>
      </c>
      <c r="K79" s="6">
        <v>36</v>
      </c>
      <c r="L79" s="6">
        <f>(12.5+(97.5-36)*0.7)</f>
        <v>55.55</v>
      </c>
    </row>
    <row r="80" spans="1:14">
      <c r="A80" s="44" t="s">
        <v>129</v>
      </c>
      <c r="B80" s="4">
        <v>44348</v>
      </c>
      <c r="C80" s="4">
        <v>44389</v>
      </c>
      <c r="D80" s="5" t="s">
        <v>160</v>
      </c>
      <c r="E80" s="49">
        <v>12.5</v>
      </c>
      <c r="F80" s="5">
        <v>26.22</v>
      </c>
      <c r="G80" s="5">
        <f>71/30*42</f>
        <v>99.4</v>
      </c>
      <c r="H80" s="5">
        <f>50+45</f>
        <v>95</v>
      </c>
      <c r="I80" s="5"/>
      <c r="J80" s="6">
        <v>140</v>
      </c>
      <c r="K80" s="6">
        <v>71</v>
      </c>
      <c r="L80" s="6">
        <f>(12.5+(127.5-71)*0.7)</f>
        <v>52.05</v>
      </c>
    </row>
    <row r="81" spans="1:12">
      <c r="A81" s="44" t="s">
        <v>124</v>
      </c>
      <c r="B81" s="4">
        <v>44348</v>
      </c>
      <c r="C81" s="4">
        <v>44389</v>
      </c>
      <c r="D81" s="40"/>
      <c r="E81" s="2"/>
      <c r="F81" s="5">
        <v>11.62</v>
      </c>
      <c r="G81" s="5">
        <f>26/30*42</f>
        <v>36.4</v>
      </c>
      <c r="H81" s="5">
        <v>65</v>
      </c>
      <c r="I81" s="5"/>
      <c r="J81" s="6">
        <v>70</v>
      </c>
      <c r="K81" s="6">
        <v>26</v>
      </c>
      <c r="L81" s="6">
        <f>(70-26)*0.7</f>
        <v>30.799999999999997</v>
      </c>
    </row>
    <row r="82" spans="1:12">
      <c r="A82" s="44" t="s">
        <v>132</v>
      </c>
      <c r="B82" s="4">
        <v>44407</v>
      </c>
      <c r="C82" s="4">
        <v>44461</v>
      </c>
      <c r="D82" s="40"/>
      <c r="E82" s="2"/>
      <c r="F82" s="5">
        <v>9.8800000000000008</v>
      </c>
      <c r="G82" s="5">
        <f>25/30*52</f>
        <v>43.333333333333336</v>
      </c>
      <c r="H82" s="5"/>
      <c r="I82" s="5"/>
      <c r="J82" s="6">
        <v>70</v>
      </c>
      <c r="K82" s="6">
        <v>25</v>
      </c>
      <c r="L82" s="6">
        <f>45*0.7</f>
        <v>31.499999999999996</v>
      </c>
    </row>
    <row r="83" spans="1:12">
      <c r="A83" s="44" t="s">
        <v>133</v>
      </c>
      <c r="B83" s="4">
        <v>44432</v>
      </c>
      <c r="C83" s="4">
        <v>44467</v>
      </c>
      <c r="D83" s="40"/>
      <c r="E83" s="2"/>
      <c r="F83" s="5">
        <v>9.8800000000000008</v>
      </c>
      <c r="G83" s="5">
        <f>25/30*34</f>
        <v>28.333333333333336</v>
      </c>
      <c r="H83" s="5"/>
      <c r="I83" s="5"/>
      <c r="J83" s="6">
        <v>70</v>
      </c>
      <c r="K83" s="6">
        <v>25</v>
      </c>
      <c r="L83" s="6">
        <f>45*0.7</f>
        <v>31.499999999999996</v>
      </c>
    </row>
    <row r="84" spans="1:12">
      <c r="A84" s="44" t="s">
        <v>135</v>
      </c>
      <c r="B84" s="35">
        <v>44460</v>
      </c>
      <c r="C84" s="35">
        <v>44475</v>
      </c>
      <c r="D84" s="40"/>
      <c r="E84" s="2"/>
      <c r="F84" s="5">
        <v>19.760000000000002</v>
      </c>
      <c r="G84" s="5">
        <f>43/30*15</f>
        <v>21.5</v>
      </c>
      <c r="H84" s="5">
        <v>65</v>
      </c>
      <c r="I84" s="5"/>
      <c r="J84" s="6">
        <v>90</v>
      </c>
      <c r="K84" s="6">
        <v>43</v>
      </c>
      <c r="L84" s="6">
        <f>(J84-K84)*0.7</f>
        <v>32.9</v>
      </c>
    </row>
    <row r="85" spans="1:12">
      <c r="A85" s="44" t="s">
        <v>141</v>
      </c>
      <c r="B85" s="35">
        <v>44459</v>
      </c>
      <c r="C85" s="35">
        <v>44481</v>
      </c>
      <c r="D85" s="10" t="s">
        <v>161</v>
      </c>
      <c r="E85" s="12">
        <v>10</v>
      </c>
      <c r="F85" s="5">
        <v>15.15</v>
      </c>
      <c r="G85" s="5">
        <f>46/30*22</f>
        <v>33.733333333333334</v>
      </c>
      <c r="H85" s="5">
        <v>80</v>
      </c>
      <c r="I85" s="5"/>
      <c r="J85" s="6">
        <v>120</v>
      </c>
      <c r="K85" s="6">
        <v>46</v>
      </c>
      <c r="L85" s="6">
        <f>10+(120-56)*0.7</f>
        <v>54.8</v>
      </c>
    </row>
    <row r="86" spans="1:12">
      <c r="A86" s="44" t="s">
        <v>140</v>
      </c>
      <c r="B86" s="35">
        <v>44449</v>
      </c>
      <c r="C86" s="35">
        <v>44482</v>
      </c>
      <c r="D86" s="5" t="s">
        <v>160</v>
      </c>
      <c r="E86" s="49">
        <v>10</v>
      </c>
      <c r="F86" s="5">
        <v>13.4</v>
      </c>
      <c r="G86" s="5">
        <f>60/30*33</f>
        <v>66</v>
      </c>
      <c r="H86" s="5">
        <v>80</v>
      </c>
      <c r="I86" s="5"/>
      <c r="J86" s="6">
        <v>120</v>
      </c>
      <c r="K86" s="6">
        <v>61</v>
      </c>
      <c r="L86" s="6">
        <f>(10+49*0.7)</f>
        <v>44.3</v>
      </c>
    </row>
    <row r="87" spans="1:12">
      <c r="A87" s="44" t="s">
        <v>137</v>
      </c>
      <c r="B87" s="35">
        <v>44474</v>
      </c>
      <c r="C87" s="35">
        <v>44487</v>
      </c>
      <c r="D87" s="10" t="s">
        <v>161</v>
      </c>
      <c r="E87" s="12">
        <v>12.5</v>
      </c>
      <c r="F87" s="5">
        <v>15.15</v>
      </c>
      <c r="G87" s="5">
        <f>71/30*13</f>
        <v>30.766666666666666</v>
      </c>
      <c r="H87" s="5">
        <v>95</v>
      </c>
      <c r="I87" s="5"/>
      <c r="J87" s="6">
        <v>140</v>
      </c>
      <c r="K87" s="6">
        <v>71</v>
      </c>
      <c r="L87" s="6">
        <f>12.5+(56.5)*0.7</f>
        <v>52.05</v>
      </c>
    </row>
    <row r="88" spans="1:12">
      <c r="A88" s="44" t="s">
        <v>143</v>
      </c>
      <c r="B88" s="35">
        <v>43717</v>
      </c>
      <c r="C88" s="35">
        <v>44505</v>
      </c>
      <c r="D88" s="40"/>
      <c r="E88" s="49"/>
      <c r="F88" s="5">
        <v>13.4</v>
      </c>
      <c r="G88" s="5">
        <f>36*25+36/30*26</f>
        <v>931.2</v>
      </c>
      <c r="H88" s="5"/>
      <c r="I88" s="5"/>
      <c r="J88" s="6">
        <v>110</v>
      </c>
      <c r="K88" s="6">
        <v>36</v>
      </c>
      <c r="L88" s="6">
        <f>(110-36)*0.7</f>
        <v>51.8</v>
      </c>
    </row>
    <row r="89" spans="1:12">
      <c r="A89" s="10" t="s">
        <v>139</v>
      </c>
      <c r="B89" s="11">
        <v>44492</v>
      </c>
      <c r="C89" s="11">
        <v>44539</v>
      </c>
      <c r="D89" s="40"/>
      <c r="E89" s="49"/>
      <c r="F89" s="5">
        <v>16.350000000000001</v>
      </c>
      <c r="G89" s="5">
        <f>71/30*46</f>
        <v>108.86666666666667</v>
      </c>
      <c r="H89" s="5">
        <v>95</v>
      </c>
      <c r="I89" s="5"/>
      <c r="J89" s="6">
        <v>140</v>
      </c>
      <c r="K89" s="6">
        <v>71</v>
      </c>
      <c r="L89" s="6">
        <f>(140-71)*0.7/30*21</f>
        <v>33.809999999999995</v>
      </c>
    </row>
    <row r="90" spans="1:12">
      <c r="A90" s="10" t="s">
        <v>144</v>
      </c>
      <c r="B90" s="11">
        <v>44526</v>
      </c>
      <c r="C90" s="11">
        <v>44550</v>
      </c>
      <c r="D90" s="5" t="s">
        <v>160</v>
      </c>
      <c r="E90" s="49">
        <v>12.5</v>
      </c>
      <c r="F90" s="5">
        <v>13.4</v>
      </c>
      <c r="G90" s="5">
        <f>83/30*24</f>
        <v>66.400000000000006</v>
      </c>
      <c r="H90" s="5"/>
      <c r="I90" s="5"/>
      <c r="J90" s="6">
        <v>140</v>
      </c>
      <c r="K90" s="6">
        <v>83</v>
      </c>
      <c r="L90" s="6">
        <f>12.5/30*10+(140-12.5-83)*0.7/30*10</f>
        <v>14.55</v>
      </c>
    </row>
    <row r="91" spans="1:12">
      <c r="A91" s="10" t="s">
        <v>149</v>
      </c>
      <c r="B91" s="11">
        <v>44880</v>
      </c>
      <c r="C91" s="11">
        <v>44575</v>
      </c>
      <c r="D91" s="40"/>
      <c r="E91" s="49"/>
      <c r="F91" s="49">
        <v>13.4</v>
      </c>
      <c r="G91" s="49">
        <f>71/30*59</f>
        <v>139.63333333333333</v>
      </c>
      <c r="H91" s="49">
        <v>95</v>
      </c>
      <c r="I91" s="49"/>
      <c r="J91" s="49">
        <v>140</v>
      </c>
      <c r="K91" s="50">
        <v>71</v>
      </c>
      <c r="L91" s="50">
        <f>(140-71)*0.7/30*16</f>
        <v>25.759999999999998</v>
      </c>
    </row>
    <row r="92" spans="1:12">
      <c r="A92" s="19"/>
      <c r="B92" s="15"/>
      <c r="C92" s="15"/>
      <c r="F92" s="34"/>
      <c r="K92" s="8" t="s">
        <v>4</v>
      </c>
      <c r="L92" s="8">
        <f>SUM(L2:L91)</f>
        <v>3346.0200000000018</v>
      </c>
    </row>
    <row r="94" spans="1:12">
      <c r="F94" s="30"/>
    </row>
    <row r="95" spans="1:12">
      <c r="G95" s="42"/>
    </row>
  </sheetData>
  <autoFilter ref="A1:N1">
    <sortState ref="A2:M104">
      <sortCondition ref="C1"/>
    </sortState>
  </autoFilter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dimension ref="A1:N99"/>
  <sheetViews>
    <sheetView topLeftCell="A78" workbookViewId="0">
      <selection activeCell="L95" sqref="L95"/>
    </sheetView>
  </sheetViews>
  <sheetFormatPr baseColWidth="10" defaultRowHeight="15"/>
  <cols>
    <col min="1" max="1" width="26.5703125" customWidth="1"/>
    <col min="2" max="2" width="22.85546875" customWidth="1"/>
    <col min="4" max="5" width="12.85546875" customWidth="1"/>
  </cols>
  <sheetData>
    <row r="1" spans="1:13" ht="60">
      <c r="A1" s="2"/>
      <c r="B1" s="3" t="s">
        <v>0</v>
      </c>
      <c r="C1" s="3" t="s">
        <v>1</v>
      </c>
      <c r="D1" s="3" t="s">
        <v>159</v>
      </c>
      <c r="E1" s="3" t="s">
        <v>162</v>
      </c>
      <c r="F1" s="3" t="s">
        <v>3</v>
      </c>
      <c r="G1" s="3" t="s">
        <v>11</v>
      </c>
      <c r="H1" s="3" t="s">
        <v>36</v>
      </c>
      <c r="I1" s="3" t="s">
        <v>12</v>
      </c>
      <c r="J1" s="3" t="s">
        <v>5</v>
      </c>
      <c r="K1" s="3" t="s">
        <v>7</v>
      </c>
      <c r="L1" s="3" t="s">
        <v>8</v>
      </c>
      <c r="M1" s="14" t="s">
        <v>35</v>
      </c>
    </row>
    <row r="2" spans="1:13">
      <c r="A2" s="2" t="s">
        <v>10</v>
      </c>
      <c r="B2" s="4">
        <v>41852</v>
      </c>
      <c r="C2" s="4">
        <v>41852</v>
      </c>
      <c r="D2" s="5"/>
      <c r="E2" s="49"/>
      <c r="F2" s="5">
        <v>10</v>
      </c>
      <c r="G2" s="5"/>
      <c r="H2" s="5"/>
      <c r="I2" s="5">
        <f>D2+F2+H2</f>
        <v>10</v>
      </c>
      <c r="J2" s="6">
        <v>40</v>
      </c>
      <c r="K2" s="6">
        <v>25</v>
      </c>
      <c r="L2" s="6">
        <f t="shared" ref="L2:L57" si="0">(J2-K2)*0.7</f>
        <v>10.5</v>
      </c>
    </row>
    <row r="3" spans="1:13">
      <c r="A3" s="2" t="s">
        <v>9</v>
      </c>
      <c r="B3" s="4">
        <v>41871</v>
      </c>
      <c r="C3" s="4">
        <v>41892</v>
      </c>
      <c r="D3" s="5">
        <v>50</v>
      </c>
      <c r="E3" s="49"/>
      <c r="F3" s="5">
        <v>20</v>
      </c>
      <c r="G3" s="5">
        <f>K3/30*10</f>
        <v>13.666666666666668</v>
      </c>
      <c r="H3" s="5">
        <v>-300</v>
      </c>
      <c r="I3" s="5">
        <f>D3+F3+H3+G3</f>
        <v>-216.33333333333334</v>
      </c>
      <c r="J3" s="6">
        <v>100</v>
      </c>
      <c r="K3" s="6">
        <v>41</v>
      </c>
      <c r="L3" s="6">
        <f t="shared" si="0"/>
        <v>41.3</v>
      </c>
    </row>
    <row r="4" spans="1:13">
      <c r="A4" s="2" t="s">
        <v>17</v>
      </c>
      <c r="B4" s="4"/>
      <c r="C4" s="4">
        <v>42209</v>
      </c>
      <c r="D4" s="5"/>
      <c r="E4" s="49"/>
      <c r="F4" s="5"/>
      <c r="G4" s="5"/>
      <c r="H4" s="5"/>
      <c r="I4" s="5"/>
      <c r="J4" s="6">
        <v>90</v>
      </c>
      <c r="K4" s="6">
        <v>25</v>
      </c>
      <c r="L4" s="6">
        <f t="shared" si="0"/>
        <v>45.5</v>
      </c>
    </row>
    <row r="5" spans="1:13">
      <c r="A5" s="2" t="s">
        <v>15</v>
      </c>
      <c r="B5" s="4">
        <v>42272</v>
      </c>
      <c r="C5" s="4">
        <v>42275</v>
      </c>
      <c r="D5" s="5">
        <v>50</v>
      </c>
      <c r="E5" s="49"/>
      <c r="F5" s="5"/>
      <c r="G5" s="5">
        <f>25/30*3</f>
        <v>2.5</v>
      </c>
      <c r="H5" s="5"/>
      <c r="I5" s="5">
        <f>D5+F5+H5</f>
        <v>50</v>
      </c>
      <c r="J5" s="6">
        <v>40</v>
      </c>
      <c r="K5" s="6">
        <v>25</v>
      </c>
      <c r="L5" s="6">
        <f t="shared" si="0"/>
        <v>10.5</v>
      </c>
    </row>
    <row r="6" spans="1:13">
      <c r="A6" s="2" t="s">
        <v>18</v>
      </c>
      <c r="B6" s="2"/>
      <c r="C6" s="4">
        <v>42335</v>
      </c>
      <c r="D6" s="5"/>
      <c r="E6" s="49"/>
      <c r="F6" s="5"/>
      <c r="G6" s="5"/>
      <c r="H6" s="5"/>
      <c r="I6" s="5"/>
      <c r="J6" s="6">
        <v>90</v>
      </c>
      <c r="K6" s="6">
        <v>25</v>
      </c>
      <c r="L6" s="6">
        <f t="shared" si="0"/>
        <v>45.5</v>
      </c>
    </row>
    <row r="7" spans="1:13">
      <c r="A7" s="2" t="s">
        <v>16</v>
      </c>
      <c r="B7" s="2"/>
      <c r="C7" s="4">
        <v>42396</v>
      </c>
      <c r="D7" s="5"/>
      <c r="E7" s="49"/>
      <c r="F7" s="5"/>
      <c r="G7" s="5"/>
      <c r="H7" s="5"/>
      <c r="I7" s="5"/>
      <c r="J7" s="6">
        <v>90</v>
      </c>
      <c r="K7" s="6">
        <v>25</v>
      </c>
      <c r="L7" s="6">
        <f t="shared" si="0"/>
        <v>45.5</v>
      </c>
    </row>
    <row r="8" spans="1:13">
      <c r="A8" s="2" t="s">
        <v>22</v>
      </c>
      <c r="B8" s="4">
        <v>42546</v>
      </c>
      <c r="C8" s="4">
        <v>42571</v>
      </c>
      <c r="D8" s="5"/>
      <c r="E8" s="49"/>
      <c r="F8" s="5">
        <f>6.9+8.5</f>
        <v>15.4</v>
      </c>
      <c r="G8" s="5">
        <f>25*25/30</f>
        <v>20.833333333333332</v>
      </c>
      <c r="H8" s="5"/>
      <c r="I8" s="5"/>
      <c r="J8" s="6">
        <v>120</v>
      </c>
      <c r="K8" s="6">
        <v>25</v>
      </c>
      <c r="L8" s="6">
        <f t="shared" si="0"/>
        <v>66.5</v>
      </c>
    </row>
    <row r="9" spans="1:13">
      <c r="A9" s="2" t="s">
        <v>23</v>
      </c>
      <c r="B9" s="4">
        <v>42560</v>
      </c>
      <c r="C9" s="4">
        <v>42571</v>
      </c>
      <c r="D9" s="5"/>
      <c r="E9" s="49"/>
      <c r="F9" s="5">
        <v>8.5</v>
      </c>
      <c r="G9" s="5">
        <f>25*41/30</f>
        <v>34.166666666666664</v>
      </c>
      <c r="H9" s="5"/>
      <c r="I9" s="5"/>
      <c r="J9" s="6">
        <v>107.5</v>
      </c>
      <c r="K9" s="6">
        <v>25</v>
      </c>
      <c r="L9" s="6">
        <f t="shared" si="0"/>
        <v>57.749999999999993</v>
      </c>
    </row>
    <row r="10" spans="1:13">
      <c r="A10" s="2" t="s">
        <v>24</v>
      </c>
      <c r="B10" s="4">
        <v>42530</v>
      </c>
      <c r="C10" s="4">
        <v>42579</v>
      </c>
      <c r="D10" s="5"/>
      <c r="E10" s="49"/>
      <c r="F10" s="5">
        <f>8.5+6.9</f>
        <v>15.4</v>
      </c>
      <c r="G10" s="5">
        <f>25*52/30</f>
        <v>43.333333333333336</v>
      </c>
      <c r="H10" s="5"/>
      <c r="I10" s="5"/>
      <c r="J10" s="6">
        <v>90</v>
      </c>
      <c r="K10" s="6">
        <v>25</v>
      </c>
      <c r="L10" s="6">
        <f t="shared" si="0"/>
        <v>45.5</v>
      </c>
    </row>
    <row r="11" spans="1:13">
      <c r="A11" s="2" t="s">
        <v>26</v>
      </c>
      <c r="B11" s="4">
        <v>42633</v>
      </c>
      <c r="C11" s="4">
        <v>42644</v>
      </c>
      <c r="D11" s="5"/>
      <c r="E11" s="49"/>
      <c r="F11" s="5">
        <v>8.17</v>
      </c>
      <c r="G11" s="5">
        <f>25/30*10</f>
        <v>8.3333333333333339</v>
      </c>
      <c r="H11" s="5"/>
      <c r="I11" s="5"/>
      <c r="J11" s="6">
        <v>70</v>
      </c>
      <c r="K11" s="6">
        <v>25</v>
      </c>
      <c r="L11" s="6">
        <f t="shared" si="0"/>
        <v>31.499999999999996</v>
      </c>
    </row>
    <row r="12" spans="1:13">
      <c r="A12" s="2" t="s">
        <v>27</v>
      </c>
      <c r="B12" s="4">
        <v>42656</v>
      </c>
      <c r="C12" s="4">
        <v>42705</v>
      </c>
      <c r="D12" s="5"/>
      <c r="E12" s="49"/>
      <c r="F12" s="5">
        <v>8.17</v>
      </c>
      <c r="G12" s="5">
        <f>K12/30*47</f>
        <v>39.166666666666671</v>
      </c>
      <c r="H12" s="5"/>
      <c r="I12" s="5"/>
      <c r="J12" s="6">
        <v>40</v>
      </c>
      <c r="K12" s="6">
        <v>25</v>
      </c>
      <c r="L12" s="6">
        <f t="shared" si="0"/>
        <v>10.5</v>
      </c>
    </row>
    <row r="13" spans="1:13">
      <c r="A13" s="2" t="s">
        <v>29</v>
      </c>
      <c r="B13" s="4">
        <v>42683</v>
      </c>
      <c r="C13" s="4">
        <v>42718</v>
      </c>
      <c r="D13" s="5"/>
      <c r="E13" s="49"/>
      <c r="F13" s="5">
        <v>8.9700000000000006</v>
      </c>
      <c r="G13" s="5">
        <f>K13/30*35</f>
        <v>42</v>
      </c>
      <c r="H13" s="5"/>
      <c r="I13" s="5"/>
      <c r="J13" s="6">
        <f>105</f>
        <v>105</v>
      </c>
      <c r="K13" s="6">
        <v>36</v>
      </c>
      <c r="L13" s="6">
        <f t="shared" si="0"/>
        <v>48.3</v>
      </c>
    </row>
    <row r="14" spans="1:13">
      <c r="A14" s="2" t="s">
        <v>28</v>
      </c>
      <c r="B14" s="4">
        <v>42711</v>
      </c>
      <c r="C14" s="4">
        <v>42734</v>
      </c>
      <c r="D14" s="5"/>
      <c r="E14" s="49"/>
      <c r="F14" s="5">
        <v>8.17</v>
      </c>
      <c r="G14" s="5">
        <f>K14/30*23</f>
        <v>19.166666666666668</v>
      </c>
      <c r="H14" s="5"/>
      <c r="I14" s="5"/>
      <c r="J14" s="6">
        <v>40</v>
      </c>
      <c r="K14" s="6">
        <v>25</v>
      </c>
      <c r="L14" s="6">
        <f t="shared" si="0"/>
        <v>10.5</v>
      </c>
    </row>
    <row r="15" spans="1:13">
      <c r="A15" s="2" t="s">
        <v>30</v>
      </c>
      <c r="B15" s="4">
        <v>42732</v>
      </c>
      <c r="C15" s="4">
        <v>42759</v>
      </c>
      <c r="D15" s="5"/>
      <c r="E15" s="49"/>
      <c r="F15" s="5">
        <v>18.8</v>
      </c>
      <c r="G15" s="5">
        <f>K15/30*27</f>
        <v>23.400000000000002</v>
      </c>
      <c r="H15" s="5"/>
      <c r="I15" s="5"/>
      <c r="J15" s="6">
        <v>90</v>
      </c>
      <c r="K15" s="6">
        <v>26</v>
      </c>
      <c r="L15" s="6">
        <f t="shared" si="0"/>
        <v>44.8</v>
      </c>
    </row>
    <row r="16" spans="1:13">
      <c r="A16" s="2" t="s">
        <v>31</v>
      </c>
      <c r="B16" s="4">
        <v>42735</v>
      </c>
      <c r="C16" s="4">
        <v>42782</v>
      </c>
      <c r="D16" s="5">
        <v>50</v>
      </c>
      <c r="E16" s="49"/>
      <c r="F16" s="5">
        <v>20.63</v>
      </c>
      <c r="G16" s="5">
        <f>K16/30*46</f>
        <v>42.933333333333337</v>
      </c>
      <c r="H16" s="5"/>
      <c r="I16" s="5"/>
      <c r="J16" s="6">
        <v>92</v>
      </c>
      <c r="K16" s="6">
        <v>28</v>
      </c>
      <c r="L16" s="6">
        <f t="shared" si="0"/>
        <v>44.8</v>
      </c>
    </row>
    <row r="17" spans="1:13">
      <c r="A17" s="2" t="s">
        <v>32</v>
      </c>
      <c r="B17" s="4">
        <v>42857</v>
      </c>
      <c r="C17" s="4">
        <v>42866</v>
      </c>
      <c r="D17" s="5"/>
      <c r="E17" s="49"/>
      <c r="F17" s="5"/>
      <c r="G17" s="5">
        <f>23/30*9</f>
        <v>6.9</v>
      </c>
      <c r="H17" s="5">
        <f>60*0.7</f>
        <v>42</v>
      </c>
      <c r="I17" s="5"/>
      <c r="J17" s="6">
        <v>60</v>
      </c>
      <c r="K17" s="6">
        <v>23</v>
      </c>
      <c r="L17" s="6">
        <f t="shared" si="0"/>
        <v>25.9</v>
      </c>
    </row>
    <row r="18" spans="1:13">
      <c r="A18" s="2" t="s">
        <v>37</v>
      </c>
      <c r="B18" s="4">
        <v>42891</v>
      </c>
      <c r="C18" s="4">
        <v>42915</v>
      </c>
      <c r="D18" s="5"/>
      <c r="E18" s="49"/>
      <c r="F18" s="5">
        <v>6.83</v>
      </c>
      <c r="G18" s="5">
        <f>24/30*24</f>
        <v>19.200000000000003</v>
      </c>
      <c r="H18" s="5"/>
      <c r="I18" s="5"/>
      <c r="J18" s="6">
        <v>70</v>
      </c>
      <c r="K18" s="6">
        <v>24</v>
      </c>
      <c r="L18" s="6">
        <f t="shared" si="0"/>
        <v>32.199999999999996</v>
      </c>
    </row>
    <row r="19" spans="1:13">
      <c r="A19" s="2" t="s">
        <v>39</v>
      </c>
      <c r="B19" s="4">
        <v>43081</v>
      </c>
      <c r="C19" s="4">
        <v>43109</v>
      </c>
      <c r="D19" s="5"/>
      <c r="E19" s="49"/>
      <c r="F19" s="5">
        <v>9.83</v>
      </c>
      <c r="G19" s="5">
        <f>36/30*28</f>
        <v>33.6</v>
      </c>
      <c r="H19" s="5"/>
      <c r="I19" s="5"/>
      <c r="J19" s="6">
        <v>120</v>
      </c>
      <c r="K19" s="6">
        <v>36</v>
      </c>
      <c r="L19" s="6">
        <f t="shared" si="0"/>
        <v>58.8</v>
      </c>
    </row>
    <row r="20" spans="1:13">
      <c r="A20" s="22" t="s">
        <v>56</v>
      </c>
      <c r="B20" s="4">
        <v>43361</v>
      </c>
      <c r="C20" s="4">
        <v>43132</v>
      </c>
      <c r="D20" s="5"/>
      <c r="E20" s="49"/>
      <c r="F20" s="5">
        <v>14.11</v>
      </c>
      <c r="G20" s="5">
        <f>25*4+25/30*12</f>
        <v>110</v>
      </c>
      <c r="H20" s="5"/>
      <c r="I20" s="5"/>
      <c r="J20" s="6">
        <v>75</v>
      </c>
      <c r="K20" s="6">
        <v>25</v>
      </c>
      <c r="L20" s="6">
        <f t="shared" si="0"/>
        <v>35</v>
      </c>
    </row>
    <row r="21" spans="1:13">
      <c r="A21" s="2" t="s">
        <v>40</v>
      </c>
      <c r="B21" s="4">
        <v>43106</v>
      </c>
      <c r="C21" s="4">
        <v>43146</v>
      </c>
      <c r="D21" s="5"/>
      <c r="E21" s="49"/>
      <c r="F21" s="5">
        <v>8.2899999999999991</v>
      </c>
      <c r="G21" s="5">
        <f>25/30*39</f>
        <v>32.5</v>
      </c>
      <c r="H21" s="5"/>
      <c r="I21" s="5"/>
      <c r="J21" s="6">
        <v>70</v>
      </c>
      <c r="K21" s="6">
        <v>26</v>
      </c>
      <c r="L21" s="6">
        <f t="shared" si="0"/>
        <v>30.799999999999997</v>
      </c>
    </row>
    <row r="22" spans="1:13">
      <c r="A22" s="2" t="s">
        <v>42</v>
      </c>
      <c r="B22" s="4">
        <v>43162</v>
      </c>
      <c r="C22" s="4">
        <v>43189</v>
      </c>
      <c r="D22" s="5"/>
      <c r="E22" s="49"/>
      <c r="F22" s="5">
        <v>9.92</v>
      </c>
      <c r="G22" s="5">
        <f>25/30*27</f>
        <v>22.5</v>
      </c>
      <c r="H22" s="5"/>
      <c r="I22" s="5"/>
      <c r="J22" s="6">
        <v>80</v>
      </c>
      <c r="K22" s="6">
        <v>26</v>
      </c>
      <c r="L22" s="6">
        <f t="shared" si="0"/>
        <v>37.799999999999997</v>
      </c>
    </row>
    <row r="23" spans="1:13">
      <c r="A23" s="9" t="s">
        <v>44</v>
      </c>
      <c r="B23" s="4">
        <v>43196</v>
      </c>
      <c r="C23" s="4">
        <v>43250</v>
      </c>
      <c r="D23" s="5"/>
      <c r="E23" s="49"/>
      <c r="F23" s="5">
        <v>13.78</v>
      </c>
      <c r="G23" s="5">
        <f>25*24/30+25</f>
        <v>45</v>
      </c>
      <c r="H23" s="5"/>
      <c r="I23" s="5"/>
      <c r="J23" s="6">
        <f>60</f>
        <v>60</v>
      </c>
      <c r="K23" s="6">
        <v>25</v>
      </c>
      <c r="L23" s="6">
        <f t="shared" si="0"/>
        <v>24.5</v>
      </c>
    </row>
    <row r="24" spans="1:13">
      <c r="A24" s="22" t="s">
        <v>47</v>
      </c>
      <c r="B24" s="4">
        <v>43355</v>
      </c>
      <c r="C24" s="4">
        <v>43277</v>
      </c>
      <c r="D24" s="5"/>
      <c r="E24" s="49"/>
      <c r="F24" s="5">
        <v>19.98</v>
      </c>
      <c r="G24" s="5">
        <f>36*2+36/30*16</f>
        <v>91.2</v>
      </c>
      <c r="H24" s="5"/>
      <c r="I24" s="5"/>
      <c r="J24" s="6">
        <v>105</v>
      </c>
      <c r="K24" s="6">
        <v>36</v>
      </c>
      <c r="L24" s="6">
        <f t="shared" si="0"/>
        <v>48.3</v>
      </c>
    </row>
    <row r="25" spans="1:13">
      <c r="A25" s="22" t="s">
        <v>48</v>
      </c>
      <c r="B25" s="4">
        <v>43367</v>
      </c>
      <c r="C25" s="4">
        <v>43284</v>
      </c>
      <c r="D25" s="5"/>
      <c r="E25" s="49"/>
      <c r="F25" s="5">
        <v>9.1</v>
      </c>
      <c r="G25" s="5">
        <f>25+25/30*27</f>
        <v>47.5</v>
      </c>
      <c r="H25" s="5"/>
      <c r="I25" s="5"/>
      <c r="J25" s="6">
        <v>75</v>
      </c>
      <c r="K25" s="6">
        <v>25</v>
      </c>
      <c r="L25" s="6">
        <f t="shared" si="0"/>
        <v>35</v>
      </c>
    </row>
    <row r="26" spans="1:13">
      <c r="A26" s="2" t="s">
        <v>45</v>
      </c>
      <c r="B26" s="4"/>
      <c r="C26" s="4">
        <v>43286</v>
      </c>
      <c r="D26" s="5"/>
      <c r="E26" s="49"/>
      <c r="F26" s="5">
        <v>11.56</v>
      </c>
      <c r="G26" s="5"/>
      <c r="H26" s="5"/>
      <c r="I26" s="5"/>
      <c r="J26" s="6">
        <v>150</v>
      </c>
      <c r="K26" s="6">
        <v>76</v>
      </c>
      <c r="L26" s="6">
        <f t="shared" si="0"/>
        <v>51.8</v>
      </c>
      <c r="M26" s="20"/>
    </row>
    <row r="27" spans="1:13">
      <c r="A27" s="22" t="s">
        <v>49</v>
      </c>
      <c r="B27" s="4">
        <v>43367</v>
      </c>
      <c r="C27" s="4">
        <v>43291</v>
      </c>
      <c r="D27" s="5"/>
      <c r="E27" s="49"/>
      <c r="F27" s="5">
        <v>10.039999999999999</v>
      </c>
      <c r="G27" s="5">
        <f>50+25/30*14</f>
        <v>61.666666666666671</v>
      </c>
      <c r="H27" s="5"/>
      <c r="I27" s="5"/>
      <c r="J27" s="6">
        <v>70</v>
      </c>
      <c r="K27" s="6">
        <v>25</v>
      </c>
      <c r="L27" s="6">
        <f t="shared" si="0"/>
        <v>31.499999999999996</v>
      </c>
    </row>
    <row r="28" spans="1:13">
      <c r="A28" s="22" t="s">
        <v>51</v>
      </c>
      <c r="B28" s="4">
        <v>43358</v>
      </c>
      <c r="C28" s="4">
        <v>43291</v>
      </c>
      <c r="D28" s="5"/>
      <c r="E28" s="49"/>
      <c r="F28" s="5">
        <v>10.039999999999999</v>
      </c>
      <c r="G28" s="5">
        <f>50+25/30*5</f>
        <v>54.166666666666664</v>
      </c>
      <c r="H28" s="5"/>
      <c r="I28" s="5"/>
      <c r="J28" s="6">
        <v>75</v>
      </c>
      <c r="K28" s="6">
        <v>25</v>
      </c>
      <c r="L28" s="6">
        <f t="shared" si="0"/>
        <v>35</v>
      </c>
    </row>
    <row r="29" spans="1:13">
      <c r="A29" s="22" t="s">
        <v>52</v>
      </c>
      <c r="B29" s="4">
        <v>43367</v>
      </c>
      <c r="C29" s="4">
        <v>43308</v>
      </c>
      <c r="D29" s="5"/>
      <c r="E29" s="49"/>
      <c r="F29" s="5">
        <v>10.86</v>
      </c>
      <c r="G29" s="5">
        <f>25+25/30*27</f>
        <v>47.5</v>
      </c>
      <c r="H29" s="5"/>
      <c r="I29" s="5"/>
      <c r="J29" s="6">
        <v>75</v>
      </c>
      <c r="K29" s="18">
        <v>25</v>
      </c>
      <c r="L29" s="18">
        <f t="shared" si="0"/>
        <v>35</v>
      </c>
    </row>
    <row r="30" spans="1:13">
      <c r="A30" s="22" t="s">
        <v>50</v>
      </c>
      <c r="B30" s="4">
        <v>43367</v>
      </c>
      <c r="C30" s="4">
        <v>43312</v>
      </c>
      <c r="D30" s="5"/>
      <c r="E30" s="49"/>
      <c r="F30" s="5">
        <v>10.86</v>
      </c>
      <c r="G30" s="5">
        <f>25+25/30*24</f>
        <v>45</v>
      </c>
      <c r="H30" s="5"/>
      <c r="I30" s="5"/>
      <c r="J30" s="6">
        <v>70</v>
      </c>
      <c r="K30" s="18">
        <v>25</v>
      </c>
      <c r="L30" s="18">
        <f t="shared" si="0"/>
        <v>31.499999999999996</v>
      </c>
    </row>
    <row r="31" spans="1:13">
      <c r="A31" s="22" t="s">
        <v>55</v>
      </c>
      <c r="B31" s="4">
        <v>43363</v>
      </c>
      <c r="C31" s="4">
        <v>43440</v>
      </c>
      <c r="D31" s="5"/>
      <c r="E31" s="49"/>
      <c r="F31" s="5">
        <v>14.11</v>
      </c>
      <c r="G31" s="5">
        <f>25*2+25*16/30</f>
        <v>63.333333333333336</v>
      </c>
      <c r="H31" s="5"/>
      <c r="I31" s="5"/>
      <c r="J31" s="6">
        <v>75</v>
      </c>
      <c r="K31" s="18">
        <v>25</v>
      </c>
      <c r="L31" s="18">
        <f t="shared" si="0"/>
        <v>35</v>
      </c>
    </row>
    <row r="32" spans="1:13">
      <c r="A32" s="22" t="s">
        <v>54</v>
      </c>
      <c r="B32" s="4">
        <v>43167</v>
      </c>
      <c r="C32" s="4">
        <v>43455</v>
      </c>
      <c r="D32" s="5"/>
      <c r="E32" s="49"/>
      <c r="F32" s="5">
        <v>10.86</v>
      </c>
      <c r="G32" s="5">
        <f>9*25+25*13/30</f>
        <v>235.83333333333334</v>
      </c>
      <c r="H32" s="5"/>
      <c r="I32" s="5"/>
      <c r="J32" s="6">
        <v>90</v>
      </c>
      <c r="K32" s="18">
        <v>36</v>
      </c>
      <c r="L32" s="18">
        <f t="shared" si="0"/>
        <v>37.799999999999997</v>
      </c>
    </row>
    <row r="33" spans="1:13">
      <c r="A33" s="22" t="s">
        <v>57</v>
      </c>
      <c r="B33" s="4">
        <v>43478</v>
      </c>
      <c r="C33" s="4">
        <v>43536</v>
      </c>
      <c r="D33" s="5"/>
      <c r="E33" s="49"/>
      <c r="F33" s="5">
        <v>10.86</v>
      </c>
      <c r="G33" s="5">
        <v>25</v>
      </c>
      <c r="H33" s="5"/>
      <c r="I33" s="5"/>
      <c r="J33" s="6">
        <v>70</v>
      </c>
      <c r="K33" s="6">
        <v>25</v>
      </c>
      <c r="L33" s="6">
        <f t="shared" si="0"/>
        <v>31.499999999999996</v>
      </c>
    </row>
    <row r="34" spans="1:13">
      <c r="A34" s="22" t="s">
        <v>59</v>
      </c>
      <c r="B34" s="4">
        <v>43528</v>
      </c>
      <c r="C34" s="4">
        <v>43538</v>
      </c>
      <c r="D34" s="5"/>
      <c r="E34" s="49"/>
      <c r="F34" s="5">
        <v>14.92</v>
      </c>
      <c r="G34" s="5">
        <f>77/30*10</f>
        <v>25.666666666666668</v>
      </c>
      <c r="H34" s="5"/>
      <c r="I34" s="5"/>
      <c r="J34" s="6">
        <v>169</v>
      </c>
      <c r="K34" s="6">
        <f>64+11+2</f>
        <v>77</v>
      </c>
      <c r="L34" s="6">
        <f t="shared" si="0"/>
        <v>64.399999999999991</v>
      </c>
    </row>
    <row r="35" spans="1:13">
      <c r="A35" s="22" t="s">
        <v>58</v>
      </c>
      <c r="B35" s="4">
        <v>43534</v>
      </c>
      <c r="C35" s="4">
        <v>43542</v>
      </c>
      <c r="D35" s="5"/>
      <c r="E35" s="49"/>
      <c r="F35" s="5">
        <f>10.86*2</f>
        <v>21.72</v>
      </c>
      <c r="G35" s="5">
        <v>0</v>
      </c>
      <c r="H35" s="5"/>
      <c r="I35" s="5"/>
      <c r="J35" s="6">
        <v>120</v>
      </c>
      <c r="K35" s="6">
        <f>60+11</f>
        <v>71</v>
      </c>
      <c r="L35" s="6">
        <f t="shared" si="0"/>
        <v>34.299999999999997</v>
      </c>
    </row>
    <row r="36" spans="1:13">
      <c r="A36" s="22" t="s">
        <v>61</v>
      </c>
      <c r="B36" s="4">
        <v>43482</v>
      </c>
      <c r="C36" s="4">
        <v>43542</v>
      </c>
      <c r="D36" s="5"/>
      <c r="E36" s="49"/>
      <c r="F36" s="5">
        <v>11.1</v>
      </c>
      <c r="G36" s="5">
        <f>25*2</f>
        <v>50</v>
      </c>
      <c r="H36" s="5"/>
      <c r="I36" s="5"/>
      <c r="J36" s="6">
        <v>70</v>
      </c>
      <c r="K36" s="6">
        <v>26</v>
      </c>
      <c r="L36" s="6">
        <f t="shared" si="0"/>
        <v>30.799999999999997</v>
      </c>
    </row>
    <row r="37" spans="1:13">
      <c r="A37" s="22" t="s">
        <v>63</v>
      </c>
      <c r="B37" s="4">
        <v>43593</v>
      </c>
      <c r="C37" s="4">
        <v>43605</v>
      </c>
      <c r="D37" s="5"/>
      <c r="E37" s="49"/>
      <c r="F37" s="5">
        <f>10.86*2+20</f>
        <v>41.72</v>
      </c>
      <c r="G37" s="5">
        <f>18/30*12</f>
        <v>7.1999999999999993</v>
      </c>
      <c r="H37" s="5"/>
      <c r="I37" s="5"/>
      <c r="J37" s="6">
        <v>100</v>
      </c>
      <c r="K37" s="6">
        <f>11+7</f>
        <v>18</v>
      </c>
      <c r="L37" s="6">
        <f t="shared" si="0"/>
        <v>57.4</v>
      </c>
    </row>
    <row r="38" spans="1:13">
      <c r="A38" s="22" t="s">
        <v>67</v>
      </c>
      <c r="B38" s="4">
        <v>43600</v>
      </c>
      <c r="C38" s="4">
        <v>43629</v>
      </c>
      <c r="D38" s="5"/>
      <c r="E38" s="49"/>
      <c r="F38" s="5">
        <f>10.86*2</f>
        <v>21.72</v>
      </c>
      <c r="G38" s="5">
        <f>22/30*58</f>
        <v>42.533333333333331</v>
      </c>
      <c r="H38" s="5">
        <v>50</v>
      </c>
      <c r="I38" s="5">
        <f>F38+G38+H38</f>
        <v>114.25333333333333</v>
      </c>
      <c r="J38" s="6">
        <v>60</v>
      </c>
      <c r="K38" s="6">
        <v>25</v>
      </c>
      <c r="L38" s="6">
        <v>0</v>
      </c>
    </row>
    <row r="39" spans="1:13">
      <c r="A39" s="22" t="s">
        <v>66</v>
      </c>
      <c r="B39" s="4">
        <v>43600</v>
      </c>
      <c r="C39" s="4">
        <v>43629</v>
      </c>
      <c r="D39" s="5"/>
      <c r="E39" s="49"/>
      <c r="F39" s="5">
        <f>10.86</f>
        <v>10.86</v>
      </c>
      <c r="G39" s="5">
        <f>39/30*58</f>
        <v>75.400000000000006</v>
      </c>
      <c r="H39" s="5"/>
      <c r="I39" s="5">
        <f>F39+G39</f>
        <v>86.26</v>
      </c>
      <c r="J39" s="6">
        <v>110</v>
      </c>
      <c r="K39" s="6">
        <f>25+11+3</f>
        <v>39</v>
      </c>
      <c r="L39" s="6">
        <v>0</v>
      </c>
      <c r="M39" t="s">
        <v>73</v>
      </c>
    </row>
    <row r="40" spans="1:13">
      <c r="A40" s="22" t="s">
        <v>64</v>
      </c>
      <c r="B40" s="4">
        <v>43627</v>
      </c>
      <c r="C40" s="4">
        <v>43629</v>
      </c>
      <c r="D40" s="5"/>
      <c r="E40" s="49"/>
      <c r="F40" s="5">
        <v>10.86</v>
      </c>
      <c r="G40" s="5">
        <f>25/30*2</f>
        <v>1.6666666666666667</v>
      </c>
      <c r="H40" s="5"/>
      <c r="I40" s="5">
        <f>F40+G40</f>
        <v>12.526666666666666</v>
      </c>
      <c r="J40" s="6">
        <v>90</v>
      </c>
      <c r="K40" s="6">
        <v>25</v>
      </c>
      <c r="L40" s="6">
        <f t="shared" si="0"/>
        <v>45.5</v>
      </c>
    </row>
    <row r="41" spans="1:13">
      <c r="A41" s="22" t="s">
        <v>65</v>
      </c>
      <c r="B41" s="4">
        <v>43622</v>
      </c>
      <c r="C41" s="4">
        <v>43650</v>
      </c>
      <c r="D41" s="5"/>
      <c r="E41" s="49"/>
      <c r="F41" s="5">
        <v>10.86</v>
      </c>
      <c r="G41" s="5"/>
      <c r="H41" s="5"/>
      <c r="I41" s="5"/>
      <c r="J41" s="6">
        <v>120</v>
      </c>
      <c r="K41" s="6">
        <v>60</v>
      </c>
      <c r="L41" s="6">
        <f t="shared" si="0"/>
        <v>42</v>
      </c>
    </row>
    <row r="42" spans="1:13">
      <c r="A42" s="22" t="s">
        <v>71</v>
      </c>
      <c r="B42" s="4">
        <v>43635</v>
      </c>
      <c r="C42" s="4">
        <v>43662</v>
      </c>
      <c r="D42" s="5"/>
      <c r="E42" s="49"/>
      <c r="F42" s="5">
        <f>10.86*2</f>
        <v>21.72</v>
      </c>
      <c r="G42" s="5"/>
      <c r="H42" s="5"/>
      <c r="I42" s="5"/>
      <c r="J42" s="6">
        <v>70</v>
      </c>
      <c r="K42" s="6">
        <v>26</v>
      </c>
      <c r="L42" s="6">
        <f t="shared" si="0"/>
        <v>30.799999999999997</v>
      </c>
      <c r="M42" t="s">
        <v>72</v>
      </c>
    </row>
    <row r="43" spans="1:13">
      <c r="A43" s="22" t="s">
        <v>77</v>
      </c>
      <c r="B43" s="4">
        <v>43682</v>
      </c>
      <c r="C43" s="4">
        <v>43682</v>
      </c>
      <c r="D43" s="5"/>
      <c r="E43" s="49"/>
      <c r="F43" s="5"/>
      <c r="G43" s="5"/>
      <c r="H43" s="5"/>
      <c r="I43" s="5"/>
      <c r="J43" s="6">
        <v>10</v>
      </c>
      <c r="K43" s="6">
        <v>1</v>
      </c>
      <c r="L43" s="6">
        <f t="shared" si="0"/>
        <v>6.3</v>
      </c>
    </row>
    <row r="44" spans="1:13">
      <c r="A44" s="2" t="s">
        <v>74</v>
      </c>
      <c r="B44" s="4">
        <v>43661</v>
      </c>
      <c r="C44" s="4">
        <v>43711</v>
      </c>
      <c r="D44" s="5"/>
      <c r="E44" s="49"/>
      <c r="F44" s="5">
        <v>10.86</v>
      </c>
      <c r="G44" s="5">
        <f>36/30*48</f>
        <v>57.599999999999994</v>
      </c>
      <c r="H44" s="5"/>
      <c r="I44" s="5"/>
      <c r="J44" s="6">
        <v>105</v>
      </c>
      <c r="K44" s="6">
        <v>36</v>
      </c>
      <c r="L44" s="6">
        <f t="shared" si="0"/>
        <v>48.3</v>
      </c>
    </row>
    <row r="45" spans="1:13">
      <c r="A45" s="2" t="s">
        <v>75</v>
      </c>
      <c r="B45" s="4">
        <v>43656</v>
      </c>
      <c r="C45" s="4">
        <v>43711</v>
      </c>
      <c r="D45" s="5"/>
      <c r="E45" s="49"/>
      <c r="F45" s="5">
        <v>10.86</v>
      </c>
      <c r="G45" s="5">
        <f>36/30*48</f>
        <v>57.599999999999994</v>
      </c>
      <c r="H45" s="5"/>
      <c r="I45" s="5"/>
      <c r="J45" s="6">
        <v>105</v>
      </c>
      <c r="K45" s="6">
        <v>36</v>
      </c>
      <c r="L45" s="18">
        <f t="shared" si="0"/>
        <v>48.3</v>
      </c>
    </row>
    <row r="46" spans="1:13">
      <c r="A46" s="2" t="s">
        <v>76</v>
      </c>
      <c r="B46" s="4">
        <v>43677</v>
      </c>
      <c r="C46" s="4">
        <v>43713</v>
      </c>
      <c r="D46" s="5"/>
      <c r="E46" s="49"/>
      <c r="F46" s="5">
        <v>24.06</v>
      </c>
      <c r="G46" s="5">
        <f>80/30*35</f>
        <v>93.333333333333329</v>
      </c>
      <c r="H46" s="5">
        <v>40</v>
      </c>
      <c r="I46" s="5"/>
      <c r="J46" s="6">
        <v>149</v>
      </c>
      <c r="K46" s="6">
        <v>80</v>
      </c>
      <c r="L46" s="6">
        <f t="shared" si="0"/>
        <v>48.3</v>
      </c>
      <c r="M46" t="s">
        <v>79</v>
      </c>
    </row>
    <row r="47" spans="1:13">
      <c r="A47" s="22" t="s">
        <v>78</v>
      </c>
      <c r="B47" s="4">
        <v>43747</v>
      </c>
      <c r="C47" s="4">
        <v>43789</v>
      </c>
      <c r="D47" s="5"/>
      <c r="E47" s="49"/>
      <c r="F47" s="5">
        <f>9.51+9.44</f>
        <v>18.95</v>
      </c>
      <c r="G47" s="5">
        <f>52/30*41</f>
        <v>71.066666666666663</v>
      </c>
      <c r="H47" s="5"/>
      <c r="I47" s="5"/>
      <c r="J47" s="17">
        <v>99</v>
      </c>
      <c r="K47" s="18">
        <f>52</f>
        <v>52</v>
      </c>
      <c r="L47" s="6">
        <f t="shared" si="0"/>
        <v>32.9</v>
      </c>
    </row>
    <row r="48" spans="1:13">
      <c r="A48" s="2" t="s">
        <v>81</v>
      </c>
      <c r="B48" s="4">
        <v>43788</v>
      </c>
      <c r="C48" s="4">
        <v>43865</v>
      </c>
      <c r="D48" s="5"/>
      <c r="E48" s="49"/>
      <c r="F48" s="5">
        <v>9.14</v>
      </c>
      <c r="G48" s="5">
        <f>25/30*45</f>
        <v>37.5</v>
      </c>
      <c r="H48" s="5"/>
      <c r="I48" s="5"/>
      <c r="J48" s="6">
        <v>90</v>
      </c>
      <c r="K48" s="6">
        <v>25</v>
      </c>
      <c r="L48" s="27">
        <f t="shared" si="0"/>
        <v>45.5</v>
      </c>
    </row>
    <row r="49" spans="1:14">
      <c r="A49" s="22" t="s">
        <v>87</v>
      </c>
      <c r="B49" s="35">
        <v>43878</v>
      </c>
      <c r="C49" s="35">
        <v>43892</v>
      </c>
      <c r="D49" s="5"/>
      <c r="E49" s="49"/>
      <c r="F49" s="5">
        <v>12.19</v>
      </c>
      <c r="G49" s="5">
        <v>5.5</v>
      </c>
      <c r="H49" s="5"/>
      <c r="I49" s="5"/>
      <c r="J49" s="6">
        <v>25</v>
      </c>
      <c r="K49" s="6">
        <v>11</v>
      </c>
      <c r="L49" s="6">
        <f t="shared" si="0"/>
        <v>9.7999999999999989</v>
      </c>
    </row>
    <row r="50" spans="1:14">
      <c r="A50" s="22" t="s">
        <v>89</v>
      </c>
      <c r="B50" s="35">
        <v>43908</v>
      </c>
      <c r="C50" s="35">
        <v>43893</v>
      </c>
      <c r="D50" s="5"/>
      <c r="E50" s="49"/>
      <c r="F50" s="5">
        <v>9.6</v>
      </c>
      <c r="G50" s="5">
        <v>5.5</v>
      </c>
      <c r="H50" s="5"/>
      <c r="I50" s="5"/>
      <c r="J50" s="6">
        <v>25</v>
      </c>
      <c r="K50" s="6">
        <v>11</v>
      </c>
      <c r="L50" s="6">
        <f t="shared" si="0"/>
        <v>9.7999999999999989</v>
      </c>
    </row>
    <row r="51" spans="1:14">
      <c r="A51" s="22" t="s">
        <v>85</v>
      </c>
      <c r="B51" s="35">
        <v>43881</v>
      </c>
      <c r="C51" s="35">
        <v>43895</v>
      </c>
      <c r="D51" s="5"/>
      <c r="E51" s="49"/>
      <c r="F51" s="5">
        <v>9.14</v>
      </c>
      <c r="G51" s="5">
        <f>11/30*15</f>
        <v>5.5</v>
      </c>
      <c r="H51" s="5"/>
      <c r="I51" s="5"/>
      <c r="J51" s="6">
        <v>25</v>
      </c>
      <c r="K51" s="6">
        <v>11</v>
      </c>
      <c r="L51" s="6">
        <f t="shared" si="0"/>
        <v>9.7999999999999989</v>
      </c>
    </row>
    <row r="52" spans="1:14">
      <c r="A52" s="22" t="s">
        <v>86</v>
      </c>
      <c r="B52" s="35">
        <v>43882</v>
      </c>
      <c r="C52" s="35">
        <v>43896</v>
      </c>
      <c r="D52" s="5"/>
      <c r="E52" s="49"/>
      <c r="F52" s="5">
        <v>12.19</v>
      </c>
      <c r="G52" s="5">
        <f>22/2</f>
        <v>11</v>
      </c>
      <c r="H52" s="5"/>
      <c r="I52" s="5"/>
      <c r="J52" s="6">
        <v>60</v>
      </c>
      <c r="K52" s="6">
        <v>22</v>
      </c>
      <c r="L52" s="6">
        <f t="shared" si="0"/>
        <v>26.599999999999998</v>
      </c>
    </row>
    <row r="53" spans="1:14">
      <c r="A53" s="22" t="s">
        <v>82</v>
      </c>
      <c r="B53" s="45">
        <v>40235</v>
      </c>
      <c r="C53" s="35">
        <v>43901</v>
      </c>
      <c r="D53" s="5"/>
      <c r="E53" s="49"/>
      <c r="F53" s="5">
        <v>9.6</v>
      </c>
      <c r="G53" s="5">
        <f>11/2</f>
        <v>5.5</v>
      </c>
      <c r="H53" s="5"/>
      <c r="I53" s="5"/>
      <c r="J53" s="6">
        <v>25</v>
      </c>
      <c r="K53" s="6">
        <v>11</v>
      </c>
      <c r="L53" s="6">
        <f t="shared" si="0"/>
        <v>9.7999999999999989</v>
      </c>
    </row>
    <row r="54" spans="1:14">
      <c r="A54" s="22" t="s">
        <v>84</v>
      </c>
      <c r="B54" s="35">
        <v>43889</v>
      </c>
      <c r="C54" s="35">
        <v>43903</v>
      </c>
      <c r="D54" s="5"/>
      <c r="E54" s="49"/>
      <c r="F54" s="5">
        <v>9.14</v>
      </c>
      <c r="G54" s="5">
        <f>11/30*15</f>
        <v>5.5</v>
      </c>
      <c r="H54" s="5"/>
      <c r="I54" s="5"/>
      <c r="J54" s="6">
        <v>25</v>
      </c>
      <c r="K54" s="6">
        <v>11</v>
      </c>
      <c r="L54" s="6">
        <f t="shared" si="0"/>
        <v>9.7999999999999989</v>
      </c>
    </row>
    <row r="55" spans="1:14">
      <c r="A55" s="22" t="s">
        <v>80</v>
      </c>
      <c r="B55" s="35">
        <v>43873</v>
      </c>
      <c r="C55" s="35">
        <v>43910</v>
      </c>
      <c r="D55" s="5"/>
      <c r="E55" s="49"/>
      <c r="F55" s="5">
        <v>21.84</v>
      </c>
      <c r="G55" s="5">
        <f>56/30*38</f>
        <v>70.933333333333337</v>
      </c>
      <c r="H55" s="5"/>
      <c r="I55" s="5"/>
      <c r="J55" s="6">
        <v>120</v>
      </c>
      <c r="K55" s="6">
        <v>56</v>
      </c>
      <c r="L55" s="6">
        <f t="shared" si="0"/>
        <v>44.8</v>
      </c>
    </row>
    <row r="56" spans="1:14">
      <c r="A56" s="22" t="s">
        <v>83</v>
      </c>
      <c r="B56" s="35">
        <v>43872</v>
      </c>
      <c r="C56" s="35">
        <v>43913</v>
      </c>
      <c r="D56" s="5"/>
      <c r="E56" s="49"/>
      <c r="F56" s="5">
        <v>12.24</v>
      </c>
      <c r="G56" s="5">
        <f>45/30*42</f>
        <v>63</v>
      </c>
      <c r="H56" s="5"/>
      <c r="I56" s="5"/>
      <c r="J56" s="6">
        <v>85</v>
      </c>
      <c r="K56" s="6">
        <v>45</v>
      </c>
      <c r="L56" s="6">
        <f t="shared" si="0"/>
        <v>28</v>
      </c>
    </row>
    <row r="57" spans="1:14">
      <c r="A57" s="22" t="s">
        <v>88</v>
      </c>
      <c r="B57" s="35">
        <v>43855</v>
      </c>
      <c r="C57" s="35">
        <v>43941</v>
      </c>
      <c r="D57" s="5"/>
      <c r="E57" s="49"/>
      <c r="F57" s="5">
        <v>13.93</v>
      </c>
      <c r="G57" s="5">
        <f>56/30*85</f>
        <v>158.66666666666666</v>
      </c>
      <c r="H57" s="5"/>
      <c r="I57" s="5"/>
      <c r="J57" s="6">
        <v>110</v>
      </c>
      <c r="K57" s="6">
        <v>56</v>
      </c>
      <c r="L57" s="6">
        <f t="shared" si="0"/>
        <v>37.799999999999997</v>
      </c>
    </row>
    <row r="58" spans="1:14">
      <c r="A58" s="22" t="s">
        <v>90</v>
      </c>
      <c r="B58" s="35" t="s">
        <v>96</v>
      </c>
      <c r="C58" s="35">
        <v>44015</v>
      </c>
      <c r="D58" s="5" t="s">
        <v>160</v>
      </c>
      <c r="E58" s="49">
        <v>12.5</v>
      </c>
      <c r="F58" s="5">
        <v>11.29</v>
      </c>
      <c r="G58" s="5">
        <f>100</f>
        <v>100</v>
      </c>
      <c r="H58" s="5"/>
      <c r="I58" s="5"/>
      <c r="J58" s="6">
        <v>75</v>
      </c>
      <c r="K58" s="6">
        <f>25+11</f>
        <v>36</v>
      </c>
      <c r="L58" s="6">
        <f>12.5+(62.5-K58)*0.7</f>
        <v>31.049999999999997</v>
      </c>
      <c r="N58" s="41"/>
    </row>
    <row r="59" spans="1:14">
      <c r="A59" s="22" t="s">
        <v>97</v>
      </c>
      <c r="B59" s="35">
        <v>43990</v>
      </c>
      <c r="C59" s="35">
        <v>44036</v>
      </c>
      <c r="D59" s="5"/>
      <c r="E59" s="49"/>
      <c r="F59" s="5">
        <v>8.75</v>
      </c>
      <c r="G59" s="5">
        <f>56/30*46</f>
        <v>85.866666666666674</v>
      </c>
      <c r="H59" s="5"/>
      <c r="I59" s="5"/>
      <c r="J59" s="6">
        <v>110</v>
      </c>
      <c r="K59" s="6">
        <f>45+11</f>
        <v>56</v>
      </c>
      <c r="L59" s="6">
        <f>(J59-K59)*0.7</f>
        <v>37.799999999999997</v>
      </c>
    </row>
    <row r="60" spans="1:14">
      <c r="A60" s="22" t="s">
        <v>95</v>
      </c>
      <c r="B60" s="35">
        <v>44028</v>
      </c>
      <c r="C60" s="35">
        <v>44040</v>
      </c>
      <c r="D60" s="5"/>
      <c r="E60" s="49"/>
      <c r="F60" s="5">
        <v>8.75</v>
      </c>
      <c r="G60" s="5">
        <f>41/30*12</f>
        <v>16.399999999999999</v>
      </c>
      <c r="H60" s="5"/>
      <c r="I60" s="5"/>
      <c r="J60" s="6">
        <v>60</v>
      </c>
      <c r="K60" s="6">
        <v>41</v>
      </c>
      <c r="L60" s="6">
        <f>(J60-K60)*0.7</f>
        <v>13.299999999999999</v>
      </c>
    </row>
    <row r="61" spans="1:14">
      <c r="A61" s="22" t="s">
        <v>93</v>
      </c>
      <c r="B61" s="35">
        <v>44043</v>
      </c>
      <c r="C61" s="35">
        <v>44043</v>
      </c>
      <c r="D61" s="5" t="s">
        <v>160</v>
      </c>
      <c r="E61" s="49">
        <v>15</v>
      </c>
      <c r="F61" s="5">
        <v>27.02</v>
      </c>
      <c r="G61" s="5">
        <v>0</v>
      </c>
      <c r="H61" s="5"/>
      <c r="I61" s="5"/>
      <c r="J61" s="6">
        <v>160</v>
      </c>
      <c r="K61" s="6">
        <f>45+22</f>
        <v>67</v>
      </c>
      <c r="L61" s="6">
        <f>15+78*0.7</f>
        <v>69.599999999999994</v>
      </c>
      <c r="N61" s="41"/>
    </row>
    <row r="62" spans="1:14">
      <c r="A62" s="22" t="s">
        <v>98</v>
      </c>
      <c r="B62" s="35">
        <v>44048</v>
      </c>
      <c r="C62" s="35">
        <v>44081</v>
      </c>
      <c r="D62" s="5" t="s">
        <v>160</v>
      </c>
      <c r="E62" s="49">
        <v>17.5</v>
      </c>
      <c r="F62" s="5">
        <v>27.88</v>
      </c>
      <c r="G62" s="5">
        <f>58/30*32</f>
        <v>61.866666666666667</v>
      </c>
      <c r="H62" s="5">
        <v>125</v>
      </c>
      <c r="I62" s="5"/>
      <c r="J62" s="6">
        <v>140</v>
      </c>
      <c r="K62" s="6">
        <f>25+33</f>
        <v>58</v>
      </c>
      <c r="L62" s="6">
        <f>17.5+64.5*0.7</f>
        <v>62.65</v>
      </c>
      <c r="N62" s="41"/>
    </row>
    <row r="63" spans="1:14">
      <c r="A63" s="22" t="s">
        <v>91</v>
      </c>
      <c r="B63" s="35">
        <v>44011</v>
      </c>
      <c r="C63" s="35">
        <v>44084</v>
      </c>
      <c r="D63" s="5"/>
      <c r="E63" s="49"/>
      <c r="F63" s="5">
        <v>11.29</v>
      </c>
      <c r="G63" s="5">
        <f>25/30*71</f>
        <v>59.166666666666671</v>
      </c>
      <c r="H63" s="5"/>
      <c r="I63" s="5"/>
      <c r="J63" s="6">
        <v>40</v>
      </c>
      <c r="K63" s="6">
        <v>25</v>
      </c>
      <c r="L63" s="6">
        <f>(J63-K63)*0.7</f>
        <v>10.5</v>
      </c>
    </row>
    <row r="64" spans="1:14">
      <c r="A64" s="2" t="s">
        <v>99</v>
      </c>
      <c r="B64" s="35">
        <v>44084</v>
      </c>
      <c r="C64" s="35">
        <v>44105</v>
      </c>
      <c r="D64" s="5" t="s">
        <v>160</v>
      </c>
      <c r="E64" s="49">
        <v>5</v>
      </c>
      <c r="F64" s="5">
        <v>12.24</v>
      </c>
      <c r="G64" s="5">
        <f>25/30*20</f>
        <v>16.666666666666668</v>
      </c>
      <c r="H64" s="5"/>
      <c r="I64" s="5"/>
      <c r="J64" s="43">
        <v>40</v>
      </c>
      <c r="K64" s="6">
        <v>22</v>
      </c>
      <c r="L64" s="6">
        <f>5+13*0.7</f>
        <v>14.1</v>
      </c>
      <c r="N64" s="41"/>
    </row>
    <row r="65" spans="1:14">
      <c r="A65" s="2" t="s">
        <v>102</v>
      </c>
      <c r="B65" s="4" t="s">
        <v>103</v>
      </c>
      <c r="C65" s="4">
        <v>44110</v>
      </c>
      <c r="D65" s="5" t="s">
        <v>160</v>
      </c>
      <c r="E65" s="49">
        <v>10</v>
      </c>
      <c r="F65" s="5">
        <v>36.65</v>
      </c>
      <c r="G65" s="5">
        <f>115/30*26</f>
        <v>99.666666666666671</v>
      </c>
      <c r="H65" s="5"/>
      <c r="I65" s="5"/>
      <c r="J65" s="6">
        <v>180</v>
      </c>
      <c r="K65" s="6">
        <v>115</v>
      </c>
      <c r="L65" s="6">
        <f>10+55*0.7</f>
        <v>48.5</v>
      </c>
      <c r="N65" s="41"/>
    </row>
    <row r="66" spans="1:14">
      <c r="A66" s="2" t="s">
        <v>94</v>
      </c>
      <c r="B66" s="35">
        <v>44124</v>
      </c>
      <c r="C66" s="35">
        <v>44124</v>
      </c>
      <c r="D66" s="5"/>
      <c r="E66" s="49"/>
      <c r="F66" s="5">
        <v>7.25</v>
      </c>
      <c r="G66" s="5">
        <v>0</v>
      </c>
      <c r="H66" s="5"/>
      <c r="I66" s="5"/>
      <c r="J66" s="6">
        <v>25</v>
      </c>
      <c r="K66" s="6">
        <v>11</v>
      </c>
      <c r="L66" s="6">
        <f>(J66-K66)*0.7</f>
        <v>9.7999999999999989</v>
      </c>
    </row>
    <row r="67" spans="1:14">
      <c r="A67" s="2" t="s">
        <v>100</v>
      </c>
      <c r="B67" s="4">
        <v>44018</v>
      </c>
      <c r="C67" s="4">
        <v>44124</v>
      </c>
      <c r="D67" s="40"/>
      <c r="E67" s="2"/>
      <c r="F67" s="5">
        <v>9.5</v>
      </c>
      <c r="G67" s="5">
        <f>25/30*104</f>
        <v>86.666666666666671</v>
      </c>
      <c r="H67" s="5"/>
      <c r="I67" s="5"/>
      <c r="J67" s="6">
        <v>70</v>
      </c>
      <c r="K67" s="6">
        <v>25</v>
      </c>
      <c r="L67" s="6">
        <f>(J67-K67)*0.7</f>
        <v>31.499999999999996</v>
      </c>
    </row>
    <row r="68" spans="1:14">
      <c r="A68" s="2" t="s">
        <v>101</v>
      </c>
      <c r="B68" s="4">
        <v>44070</v>
      </c>
      <c r="C68" s="4">
        <v>44131</v>
      </c>
      <c r="D68" s="40"/>
      <c r="E68" s="2"/>
      <c r="F68" s="5">
        <v>13.93</v>
      </c>
      <c r="G68" s="5">
        <f>71/30*60</f>
        <v>142</v>
      </c>
      <c r="H68" s="5"/>
      <c r="I68" s="5"/>
      <c r="J68" s="6">
        <v>120</v>
      </c>
      <c r="K68" s="6">
        <f>60+11</f>
        <v>71</v>
      </c>
      <c r="L68" s="6">
        <f>(J68-K68)*0.7</f>
        <v>34.299999999999997</v>
      </c>
    </row>
    <row r="69" spans="1:14">
      <c r="A69" s="22" t="s">
        <v>104</v>
      </c>
      <c r="B69" s="4">
        <v>44159</v>
      </c>
      <c r="C69" s="4">
        <v>44187</v>
      </c>
      <c r="D69" s="40"/>
      <c r="E69" s="2"/>
      <c r="F69" s="5">
        <v>13.93</v>
      </c>
      <c r="G69" s="5">
        <f>36/30*28</f>
        <v>33.6</v>
      </c>
      <c r="H69" s="5"/>
      <c r="I69" s="5"/>
      <c r="J69" s="6">
        <v>110</v>
      </c>
      <c r="K69" s="6">
        <f>25+11</f>
        <v>36</v>
      </c>
      <c r="L69" s="6">
        <f>(J69-K69)*0.7</f>
        <v>51.8</v>
      </c>
    </row>
    <row r="70" spans="1:14">
      <c r="A70" s="39" t="s">
        <v>120</v>
      </c>
      <c r="B70" s="15">
        <v>44169</v>
      </c>
      <c r="C70" s="15">
        <v>44208</v>
      </c>
      <c r="D70" s="5" t="s">
        <v>160</v>
      </c>
      <c r="E70" s="34">
        <v>10</v>
      </c>
      <c r="F70" s="37"/>
      <c r="G70" s="5">
        <f>41/30*38</f>
        <v>51.933333333333337</v>
      </c>
      <c r="H70" s="5"/>
      <c r="I70" s="5"/>
      <c r="J70" s="17">
        <v>70</v>
      </c>
      <c r="K70" s="26">
        <v>45</v>
      </c>
      <c r="L70" s="37">
        <f>10+(60-45)*0.7</f>
        <v>20.5</v>
      </c>
      <c r="M70" s="1" t="s">
        <v>145</v>
      </c>
    </row>
    <row r="71" spans="1:14">
      <c r="A71" s="22" t="s">
        <v>108</v>
      </c>
      <c r="B71" s="4">
        <v>44185</v>
      </c>
      <c r="C71" s="4">
        <v>44242</v>
      </c>
      <c r="D71" s="5" t="s">
        <v>160</v>
      </c>
      <c r="E71" s="49">
        <v>20</v>
      </c>
      <c r="F71" s="5">
        <v>26.48</v>
      </c>
      <c r="G71" s="5">
        <f>50/30*55</f>
        <v>91.666666666666671</v>
      </c>
      <c r="H71" s="5">
        <v>160</v>
      </c>
      <c r="I71" s="5"/>
      <c r="J71" s="6">
        <v>190</v>
      </c>
      <c r="K71" s="6">
        <v>61</v>
      </c>
      <c r="L71" s="5">
        <f>(20+(170-61)*0.7)</f>
        <v>96.3</v>
      </c>
      <c r="M71" s="1" t="s">
        <v>145</v>
      </c>
    </row>
    <row r="72" spans="1:14">
      <c r="A72" s="22" t="s">
        <v>109</v>
      </c>
      <c r="B72" s="4">
        <v>44209</v>
      </c>
      <c r="C72" s="4">
        <v>44250</v>
      </c>
      <c r="D72" s="5" t="s">
        <v>160</v>
      </c>
      <c r="E72" s="49">
        <v>22.5</v>
      </c>
      <c r="F72" s="5">
        <v>22.83</v>
      </c>
      <c r="G72" s="5">
        <f>100/30*40</f>
        <v>133.33333333333334</v>
      </c>
      <c r="H72" s="5">
        <v>125</v>
      </c>
      <c r="I72" s="5"/>
      <c r="J72" s="6">
        <v>210</v>
      </c>
      <c r="K72" s="6">
        <v>100</v>
      </c>
      <c r="L72" s="6">
        <f>(22.5+87.5*0.7)</f>
        <v>83.75</v>
      </c>
    </row>
    <row r="73" spans="1:14">
      <c r="A73" s="2" t="s">
        <v>113</v>
      </c>
      <c r="B73" s="4">
        <v>44245</v>
      </c>
      <c r="C73" s="4">
        <v>44271</v>
      </c>
      <c r="D73" s="5" t="s">
        <v>160</v>
      </c>
      <c r="E73" s="49">
        <v>15</v>
      </c>
      <c r="F73" s="5">
        <v>26.76</v>
      </c>
      <c r="G73" s="5">
        <f>67/30*28</f>
        <v>62.533333333333331</v>
      </c>
      <c r="H73" s="5"/>
      <c r="I73" s="5"/>
      <c r="J73" s="6">
        <v>140</v>
      </c>
      <c r="K73" s="6">
        <v>67</v>
      </c>
      <c r="L73" s="6">
        <f>(15+0.7*58)</f>
        <v>55.599999999999994</v>
      </c>
    </row>
    <row r="74" spans="1:14">
      <c r="A74" s="2" t="s">
        <v>114</v>
      </c>
      <c r="B74" s="4">
        <v>44222</v>
      </c>
      <c r="C74" s="4">
        <v>44279</v>
      </c>
      <c r="D74" s="5" t="s">
        <v>160</v>
      </c>
      <c r="E74" s="49">
        <v>12.5</v>
      </c>
      <c r="F74" s="5">
        <v>13.4</v>
      </c>
      <c r="G74" s="5">
        <f>56/30*58</f>
        <v>108.26666666666667</v>
      </c>
      <c r="H74" s="5">
        <v>100</v>
      </c>
      <c r="I74" s="5"/>
      <c r="J74" s="6">
        <v>140</v>
      </c>
      <c r="K74" s="6">
        <v>56</v>
      </c>
      <c r="L74" s="5">
        <f>(12.5+71.5*0.7)</f>
        <v>62.55</v>
      </c>
      <c r="M74" s="1" t="s">
        <v>145</v>
      </c>
    </row>
    <row r="75" spans="1:14">
      <c r="A75" s="2" t="s">
        <v>112</v>
      </c>
      <c r="B75" s="4">
        <v>44270</v>
      </c>
      <c r="C75" s="4">
        <v>44286</v>
      </c>
      <c r="D75" s="5" t="s">
        <v>160</v>
      </c>
      <c r="E75" s="49">
        <v>17.5</v>
      </c>
      <c r="F75" s="5">
        <v>31.96</v>
      </c>
      <c r="G75" s="5">
        <f>55/30*16</f>
        <v>29.333333333333332</v>
      </c>
      <c r="H75" s="5">
        <v>75</v>
      </c>
      <c r="I75" s="5"/>
      <c r="J75" s="6">
        <v>100</v>
      </c>
      <c r="K75" s="6">
        <v>55</v>
      </c>
      <c r="L75" s="6">
        <f>(17.5+27.5*0.7)</f>
        <v>36.75</v>
      </c>
    </row>
    <row r="76" spans="1:14">
      <c r="A76" s="2" t="s">
        <v>119</v>
      </c>
      <c r="B76" s="4">
        <v>44281</v>
      </c>
      <c r="C76" s="4">
        <v>44316</v>
      </c>
      <c r="D76" s="40"/>
      <c r="E76" s="2"/>
      <c r="F76" s="5">
        <v>14.26</v>
      </c>
      <c r="G76" s="5">
        <f>45/30*34</f>
        <v>51</v>
      </c>
      <c r="H76" s="5"/>
      <c r="I76" s="5"/>
      <c r="J76" s="6">
        <v>110</v>
      </c>
      <c r="K76" s="6">
        <v>45</v>
      </c>
      <c r="L76" s="6">
        <f>(65*0.7)</f>
        <v>45.5</v>
      </c>
    </row>
    <row r="77" spans="1:14">
      <c r="A77" s="22" t="s">
        <v>121</v>
      </c>
      <c r="B77" s="4">
        <v>44316</v>
      </c>
      <c r="C77" s="4">
        <v>44354</v>
      </c>
      <c r="D77" s="40"/>
      <c r="E77" s="2"/>
      <c r="F77" s="5">
        <v>15.15</v>
      </c>
      <c r="G77" s="5">
        <f>36/30*37</f>
        <v>44.4</v>
      </c>
      <c r="H77" s="5"/>
      <c r="I77" s="5"/>
      <c r="J77" s="6">
        <v>110</v>
      </c>
      <c r="K77" s="6">
        <v>36</v>
      </c>
      <c r="L77" s="5">
        <f>(J77-K77)*0.7</f>
        <v>51.8</v>
      </c>
      <c r="M77" s="1" t="s">
        <v>145</v>
      </c>
    </row>
    <row r="78" spans="1:14">
      <c r="A78" s="22" t="s">
        <v>126</v>
      </c>
      <c r="B78" s="4">
        <v>44336</v>
      </c>
      <c r="C78" s="4">
        <v>44370</v>
      </c>
      <c r="D78" s="5" t="s">
        <v>161</v>
      </c>
      <c r="E78" s="49">
        <v>17.5</v>
      </c>
      <c r="F78" s="5">
        <v>35.78</v>
      </c>
      <c r="G78" s="5">
        <f>58/30*33</f>
        <v>63.8</v>
      </c>
      <c r="H78" s="5">
        <v>50</v>
      </c>
      <c r="I78" s="5"/>
      <c r="J78" s="6">
        <v>150</v>
      </c>
      <c r="K78" s="6">
        <v>58</v>
      </c>
      <c r="L78" s="6">
        <f>(17.5+74.5*0.7)</f>
        <v>69.650000000000006</v>
      </c>
    </row>
    <row r="79" spans="1:14">
      <c r="A79" s="44" t="s">
        <v>125</v>
      </c>
      <c r="B79" s="4">
        <v>44342</v>
      </c>
      <c r="C79" s="4">
        <v>44386</v>
      </c>
      <c r="D79" s="5" t="s">
        <v>160</v>
      </c>
      <c r="E79" s="49">
        <v>12.5</v>
      </c>
      <c r="F79" s="5">
        <v>15.46</v>
      </c>
      <c r="G79" s="5">
        <f>36/30*43</f>
        <v>51.6</v>
      </c>
      <c r="H79" s="5">
        <f>50+45</f>
        <v>95</v>
      </c>
      <c r="I79" s="5"/>
      <c r="J79" s="6">
        <v>110</v>
      </c>
      <c r="K79" s="6">
        <v>36</v>
      </c>
      <c r="L79" s="6">
        <f>(12.5+(97.5-36)*0.7)</f>
        <v>55.55</v>
      </c>
    </row>
    <row r="80" spans="1:14">
      <c r="A80" s="44" t="s">
        <v>129</v>
      </c>
      <c r="B80" s="4">
        <v>44348</v>
      </c>
      <c r="C80" s="4">
        <v>44389</v>
      </c>
      <c r="D80" s="5" t="s">
        <v>160</v>
      </c>
      <c r="E80" s="49">
        <v>12.5</v>
      </c>
      <c r="F80" s="5">
        <v>26.22</v>
      </c>
      <c r="G80" s="5">
        <f>71/30*42</f>
        <v>99.4</v>
      </c>
      <c r="H80" s="5">
        <f>50+45</f>
        <v>95</v>
      </c>
      <c r="I80" s="5"/>
      <c r="J80" s="6">
        <v>140</v>
      </c>
      <c r="K80" s="6">
        <v>71</v>
      </c>
      <c r="L80" s="6">
        <f>(12.5+(127.5-71)*0.7)</f>
        <v>52.05</v>
      </c>
    </row>
    <row r="81" spans="1:12">
      <c r="A81" s="44" t="s">
        <v>124</v>
      </c>
      <c r="B81" s="4">
        <v>44348</v>
      </c>
      <c r="C81" s="4">
        <v>44389</v>
      </c>
      <c r="D81" s="40"/>
      <c r="E81" s="2"/>
      <c r="F81" s="5">
        <v>11.62</v>
      </c>
      <c r="G81" s="5">
        <f>26/30*42</f>
        <v>36.4</v>
      </c>
      <c r="H81" s="5">
        <v>65</v>
      </c>
      <c r="I81" s="5"/>
      <c r="J81" s="6">
        <v>70</v>
      </c>
      <c r="K81" s="6">
        <v>26</v>
      </c>
      <c r="L81" s="6">
        <f>(70-26)*0.7</f>
        <v>30.799999999999997</v>
      </c>
    </row>
    <row r="82" spans="1:12">
      <c r="A82" s="44" t="s">
        <v>132</v>
      </c>
      <c r="B82" s="4">
        <v>44407</v>
      </c>
      <c r="C82" s="4">
        <v>44461</v>
      </c>
      <c r="D82" s="40"/>
      <c r="E82" s="2"/>
      <c r="F82" s="5">
        <v>9.8800000000000008</v>
      </c>
      <c r="G82" s="5">
        <f>25/30*52</f>
        <v>43.333333333333336</v>
      </c>
      <c r="H82" s="5"/>
      <c r="I82" s="5"/>
      <c r="J82" s="6">
        <v>70</v>
      </c>
      <c r="K82" s="6">
        <v>25</v>
      </c>
      <c r="L82" s="6">
        <f>45*0.7</f>
        <v>31.499999999999996</v>
      </c>
    </row>
    <row r="83" spans="1:12">
      <c r="A83" s="44" t="s">
        <v>133</v>
      </c>
      <c r="B83" s="4">
        <v>44432</v>
      </c>
      <c r="C83" s="4">
        <v>44467</v>
      </c>
      <c r="D83" s="40"/>
      <c r="E83" s="2"/>
      <c r="F83" s="5">
        <v>9.8800000000000008</v>
      </c>
      <c r="G83" s="5">
        <f>25/30*34</f>
        <v>28.333333333333336</v>
      </c>
      <c r="H83" s="5"/>
      <c r="I83" s="5"/>
      <c r="J83" s="6">
        <v>70</v>
      </c>
      <c r="K83" s="6">
        <v>25</v>
      </c>
      <c r="L83" s="6">
        <f>45*0.7</f>
        <v>31.499999999999996</v>
      </c>
    </row>
    <row r="84" spans="1:12">
      <c r="A84" s="44" t="s">
        <v>135</v>
      </c>
      <c r="B84" s="35">
        <v>44460</v>
      </c>
      <c r="C84" s="35">
        <v>44475</v>
      </c>
      <c r="D84" s="40"/>
      <c r="E84" s="2"/>
      <c r="F84" s="5">
        <v>19.760000000000002</v>
      </c>
      <c r="G84" s="5">
        <f>43/30*15</f>
        <v>21.5</v>
      </c>
      <c r="H84" s="5">
        <v>65</v>
      </c>
      <c r="I84" s="5"/>
      <c r="J84" s="6">
        <v>90</v>
      </c>
      <c r="K84" s="6">
        <v>43</v>
      </c>
      <c r="L84" s="6">
        <f>(J84-K84)*0.7</f>
        <v>32.9</v>
      </c>
    </row>
    <row r="85" spans="1:12">
      <c r="A85" s="44" t="s">
        <v>141</v>
      </c>
      <c r="B85" s="35">
        <v>44459</v>
      </c>
      <c r="C85" s="35">
        <v>44481</v>
      </c>
      <c r="D85" s="40" t="s">
        <v>161</v>
      </c>
      <c r="E85" s="51">
        <v>10</v>
      </c>
      <c r="F85" s="5">
        <v>15.15</v>
      </c>
      <c r="G85" s="5">
        <f>46/30*22</f>
        <v>33.733333333333334</v>
      </c>
      <c r="H85" s="5">
        <v>80</v>
      </c>
      <c r="I85" s="5"/>
      <c r="J85" s="6">
        <v>120</v>
      </c>
      <c r="K85" s="6">
        <v>46</v>
      </c>
      <c r="L85" s="6">
        <f>10+(120-56)*0.7</f>
        <v>54.8</v>
      </c>
    </row>
    <row r="86" spans="1:12">
      <c r="A86" s="44" t="s">
        <v>140</v>
      </c>
      <c r="B86" s="35">
        <v>44449</v>
      </c>
      <c r="C86" s="35">
        <v>44482</v>
      </c>
      <c r="D86" s="5" t="s">
        <v>160</v>
      </c>
      <c r="E86" s="51">
        <v>10</v>
      </c>
      <c r="F86" s="5">
        <v>13.4</v>
      </c>
      <c r="G86" s="5">
        <f>60/30*33</f>
        <v>66</v>
      </c>
      <c r="H86" s="5">
        <v>80</v>
      </c>
      <c r="I86" s="5"/>
      <c r="J86" s="6">
        <v>120</v>
      </c>
      <c r="K86" s="6">
        <v>61</v>
      </c>
      <c r="L86" s="6">
        <f>(10+49*0.7)</f>
        <v>44.3</v>
      </c>
    </row>
    <row r="87" spans="1:12">
      <c r="A87" s="44" t="s">
        <v>137</v>
      </c>
      <c r="B87" s="35">
        <v>44474</v>
      </c>
      <c r="C87" s="35">
        <v>44487</v>
      </c>
      <c r="D87" s="40" t="s">
        <v>161</v>
      </c>
      <c r="E87" s="51">
        <v>12.5</v>
      </c>
      <c r="F87" s="5">
        <v>15.15</v>
      </c>
      <c r="G87" s="5">
        <f>71/30*13</f>
        <v>30.766666666666666</v>
      </c>
      <c r="H87" s="5">
        <v>95</v>
      </c>
      <c r="I87" s="5"/>
      <c r="J87" s="6">
        <v>140</v>
      </c>
      <c r="K87" s="6">
        <v>71</v>
      </c>
      <c r="L87" s="6">
        <f>12.5+(56.5)*0.7</f>
        <v>52.05</v>
      </c>
    </row>
    <row r="88" spans="1:12">
      <c r="A88" s="44" t="s">
        <v>143</v>
      </c>
      <c r="B88" s="35">
        <v>43717</v>
      </c>
      <c r="C88" s="35">
        <v>44505</v>
      </c>
      <c r="D88" s="40"/>
      <c r="E88" s="51"/>
      <c r="F88" s="5">
        <v>13.4</v>
      </c>
      <c r="G88" s="5">
        <f>36*25+36/30*26</f>
        <v>931.2</v>
      </c>
      <c r="H88" s="5"/>
      <c r="I88" s="5"/>
      <c r="J88" s="6">
        <v>110</v>
      </c>
      <c r="K88" s="6">
        <v>36</v>
      </c>
      <c r="L88" s="6">
        <f>(110-36)*0.7</f>
        <v>51.8</v>
      </c>
    </row>
    <row r="89" spans="1:12">
      <c r="A89" s="44" t="s">
        <v>139</v>
      </c>
      <c r="B89" s="35">
        <v>44492</v>
      </c>
      <c r="C89" s="35">
        <v>44539</v>
      </c>
      <c r="D89" s="40"/>
      <c r="E89" s="49"/>
      <c r="F89" s="5">
        <v>16.350000000000001</v>
      </c>
      <c r="G89" s="5">
        <f>71/30*46</f>
        <v>108.86666666666667</v>
      </c>
      <c r="H89" s="5">
        <v>95</v>
      </c>
      <c r="I89" s="5"/>
      <c r="J89" s="6">
        <v>140</v>
      </c>
      <c r="K89" s="6">
        <v>71</v>
      </c>
      <c r="L89" s="6">
        <f>(140-71)*0.7/30*21</f>
        <v>33.809999999999995</v>
      </c>
    </row>
    <row r="90" spans="1:12">
      <c r="A90" s="44" t="s">
        <v>144</v>
      </c>
      <c r="B90" s="35">
        <v>44526</v>
      </c>
      <c r="C90" s="35">
        <v>44550</v>
      </c>
      <c r="D90" s="5" t="s">
        <v>160</v>
      </c>
      <c r="E90" s="49">
        <v>12.5</v>
      </c>
      <c r="F90" s="5">
        <v>13.4</v>
      </c>
      <c r="G90" s="5">
        <f>83/30*24</f>
        <v>66.400000000000006</v>
      </c>
      <c r="H90" s="5"/>
      <c r="I90" s="5"/>
      <c r="J90" s="6">
        <v>140</v>
      </c>
      <c r="K90" s="6">
        <v>83</v>
      </c>
      <c r="L90" s="6">
        <f>12.5+(140-12.5-83)*0.7/30*10</f>
        <v>22.883333333333333</v>
      </c>
    </row>
    <row r="91" spans="1:12">
      <c r="A91" s="44" t="s">
        <v>149</v>
      </c>
      <c r="B91" s="35">
        <v>44880</v>
      </c>
      <c r="C91" s="35">
        <v>44575</v>
      </c>
      <c r="D91" s="40"/>
      <c r="E91" s="49"/>
      <c r="F91" s="5">
        <v>13.4</v>
      </c>
      <c r="G91" s="5"/>
      <c r="H91" s="5">
        <v>50</v>
      </c>
      <c r="I91" s="5"/>
      <c r="J91" s="6">
        <v>140</v>
      </c>
      <c r="K91" s="6">
        <f>71</f>
        <v>71</v>
      </c>
      <c r="L91" s="6">
        <f>(140-71)*0.7</f>
        <v>48.3</v>
      </c>
    </row>
    <row r="92" spans="1:12">
      <c r="A92" s="10" t="s">
        <v>146</v>
      </c>
      <c r="B92" s="4">
        <v>44586</v>
      </c>
      <c r="C92" s="4">
        <v>44615</v>
      </c>
      <c r="D92" s="10" t="s">
        <v>161</v>
      </c>
      <c r="E92" s="12">
        <v>12.5</v>
      </c>
      <c r="F92" s="5">
        <v>15.46</v>
      </c>
      <c r="G92" s="5">
        <f>27/30*28</f>
        <v>25.2</v>
      </c>
      <c r="H92" s="5">
        <v>110</v>
      </c>
      <c r="I92" s="5"/>
      <c r="J92" s="6">
        <v>124</v>
      </c>
      <c r="K92" s="6">
        <v>51</v>
      </c>
      <c r="L92" s="6">
        <f>12.5/30*7+(124-63.5)*0.7/30*7</f>
        <v>12.798333333333332</v>
      </c>
    </row>
    <row r="93" spans="1:12">
      <c r="A93" s="10" t="s">
        <v>148</v>
      </c>
      <c r="B93" s="4">
        <v>44579</v>
      </c>
      <c r="C93" s="4">
        <v>44594</v>
      </c>
      <c r="D93" s="40"/>
      <c r="E93" s="49"/>
      <c r="F93" s="5">
        <v>13.4</v>
      </c>
      <c r="G93" s="5">
        <f>22/30*14</f>
        <v>10.266666666666666</v>
      </c>
      <c r="H93" s="5">
        <v>30</v>
      </c>
      <c r="I93" s="5"/>
      <c r="J93" s="6">
        <v>50</v>
      </c>
      <c r="K93" s="6">
        <v>22</v>
      </c>
      <c r="L93" s="6">
        <f>(50-22)*0.7/30*28</f>
        <v>18.293333333333329</v>
      </c>
    </row>
    <row r="94" spans="1:12">
      <c r="A94" s="10" t="s">
        <v>150</v>
      </c>
      <c r="B94" s="4">
        <v>44899</v>
      </c>
      <c r="C94" s="4">
        <v>44607</v>
      </c>
      <c r="D94" s="12" t="s">
        <v>160</v>
      </c>
      <c r="E94" s="12">
        <v>12.5</v>
      </c>
      <c r="F94" s="5">
        <v>13.4</v>
      </c>
      <c r="G94" s="5">
        <f>71/30*61</f>
        <v>144.36666666666667</v>
      </c>
      <c r="H94" s="5">
        <v>80</v>
      </c>
      <c r="I94" s="5"/>
      <c r="J94" s="6">
        <v>120</v>
      </c>
      <c r="K94" s="6">
        <v>60</v>
      </c>
      <c r="L94" s="6">
        <f>12.5/30*15+(120-72.5)*0.7/30*15</f>
        <v>22.875</v>
      </c>
    </row>
    <row r="95" spans="1:12">
      <c r="A95" s="46"/>
      <c r="B95" s="15"/>
      <c r="C95" s="15"/>
      <c r="F95" s="34"/>
      <c r="K95" s="8" t="s">
        <v>4</v>
      </c>
      <c r="L95" s="8">
        <f>SUM(L2:L94)</f>
        <v>3430.8600000000015</v>
      </c>
    </row>
    <row r="96" spans="1:12">
      <c r="A96" s="28"/>
      <c r="C96" s="15"/>
      <c r="D96" s="1"/>
      <c r="E96" s="1"/>
      <c r="F96" s="1"/>
      <c r="G96" s="1"/>
      <c r="H96" s="1"/>
      <c r="I96" s="1"/>
      <c r="J96" s="1"/>
      <c r="K96" s="29"/>
      <c r="L96" s="29"/>
    </row>
    <row r="97" spans="6:13">
      <c r="K97" t="s">
        <v>146</v>
      </c>
      <c r="L97" t="s">
        <v>147</v>
      </c>
      <c r="M97">
        <v>63</v>
      </c>
    </row>
    <row r="98" spans="6:13">
      <c r="F98" s="30"/>
    </row>
    <row r="99" spans="6:13">
      <c r="G99" s="42"/>
    </row>
  </sheetData>
  <autoFilter ref="A1:N1">
    <sortState ref="A2:M104">
      <sortCondition ref="C1"/>
    </sortState>
  </autoFilter>
  <phoneticPr fontId="3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dimension ref="A1:N107"/>
  <sheetViews>
    <sheetView topLeftCell="A96" workbookViewId="0">
      <selection activeCell="L101" sqref="L101"/>
    </sheetView>
  </sheetViews>
  <sheetFormatPr baseColWidth="10" defaultRowHeight="15"/>
  <cols>
    <col min="1" max="1" width="26.5703125" customWidth="1"/>
    <col min="2" max="2" width="22.85546875" customWidth="1"/>
  </cols>
  <sheetData>
    <row r="1" spans="1:13" ht="60">
      <c r="A1" s="2"/>
      <c r="B1" s="3" t="s">
        <v>0</v>
      </c>
      <c r="C1" s="3" t="s">
        <v>1</v>
      </c>
      <c r="D1" s="3" t="s">
        <v>159</v>
      </c>
      <c r="E1" s="3" t="s">
        <v>162</v>
      </c>
      <c r="F1" s="3" t="s">
        <v>3</v>
      </c>
      <c r="G1" s="3" t="s">
        <v>11</v>
      </c>
      <c r="H1" s="3" t="s">
        <v>36</v>
      </c>
      <c r="I1" s="3" t="s">
        <v>12</v>
      </c>
      <c r="J1" s="3" t="s">
        <v>5</v>
      </c>
      <c r="K1" s="3" t="s">
        <v>7</v>
      </c>
      <c r="L1" s="3" t="s">
        <v>8</v>
      </c>
      <c r="M1" s="14" t="s">
        <v>35</v>
      </c>
    </row>
    <row r="2" spans="1:13">
      <c r="A2" s="2" t="s">
        <v>10</v>
      </c>
      <c r="B2" s="4">
        <v>41852</v>
      </c>
      <c r="C2" s="4">
        <v>41852</v>
      </c>
      <c r="D2" s="5"/>
      <c r="E2" s="49"/>
      <c r="F2" s="5">
        <v>10</v>
      </c>
      <c r="G2" s="5"/>
      <c r="H2" s="5"/>
      <c r="I2" s="5">
        <f>D2+F2+H2</f>
        <v>10</v>
      </c>
      <c r="J2" s="6">
        <v>40</v>
      </c>
      <c r="K2" s="6">
        <v>25</v>
      </c>
      <c r="L2" s="6">
        <f t="shared" ref="L2:L57" si="0">(J2-K2)*0.7</f>
        <v>10.5</v>
      </c>
    </row>
    <row r="3" spans="1:13">
      <c r="A3" s="2" t="s">
        <v>9</v>
      </c>
      <c r="B3" s="4">
        <v>41871</v>
      </c>
      <c r="C3" s="4">
        <v>41892</v>
      </c>
      <c r="D3" s="5">
        <v>50</v>
      </c>
      <c r="E3" s="49"/>
      <c r="F3" s="5">
        <v>20</v>
      </c>
      <c r="G3" s="5">
        <f>K3/30*10</f>
        <v>13.666666666666668</v>
      </c>
      <c r="H3" s="5">
        <v>-300</v>
      </c>
      <c r="I3" s="5">
        <f>D3+F3+H3+G3</f>
        <v>-216.33333333333334</v>
      </c>
      <c r="J3" s="6">
        <v>100</v>
      </c>
      <c r="K3" s="6">
        <v>41</v>
      </c>
      <c r="L3" s="6">
        <f t="shared" si="0"/>
        <v>41.3</v>
      </c>
    </row>
    <row r="4" spans="1:13">
      <c r="A4" s="2" t="s">
        <v>17</v>
      </c>
      <c r="B4" s="4"/>
      <c r="C4" s="4">
        <v>42209</v>
      </c>
      <c r="D4" s="5"/>
      <c r="E4" s="49"/>
      <c r="F4" s="5"/>
      <c r="G4" s="5"/>
      <c r="H4" s="5"/>
      <c r="I4" s="5"/>
      <c r="J4" s="6">
        <v>90</v>
      </c>
      <c r="K4" s="6">
        <v>25</v>
      </c>
      <c r="L4" s="6">
        <f t="shared" si="0"/>
        <v>45.5</v>
      </c>
    </row>
    <row r="5" spans="1:13">
      <c r="A5" s="2" t="s">
        <v>15</v>
      </c>
      <c r="B5" s="4">
        <v>42272</v>
      </c>
      <c r="C5" s="4">
        <v>42275</v>
      </c>
      <c r="D5" s="5">
        <v>50</v>
      </c>
      <c r="E5" s="49"/>
      <c r="F5" s="5"/>
      <c r="G5" s="5">
        <f>25/30*3</f>
        <v>2.5</v>
      </c>
      <c r="H5" s="5"/>
      <c r="I5" s="5">
        <f>D5+F5+H5</f>
        <v>50</v>
      </c>
      <c r="J5" s="6">
        <v>40</v>
      </c>
      <c r="K5" s="6">
        <v>25</v>
      </c>
      <c r="L5" s="6">
        <f t="shared" si="0"/>
        <v>10.5</v>
      </c>
    </row>
    <row r="6" spans="1:13">
      <c r="A6" s="2" t="s">
        <v>18</v>
      </c>
      <c r="B6" s="2"/>
      <c r="C6" s="4">
        <v>42335</v>
      </c>
      <c r="D6" s="5"/>
      <c r="E6" s="49"/>
      <c r="F6" s="5"/>
      <c r="G6" s="5"/>
      <c r="H6" s="5"/>
      <c r="I6" s="5"/>
      <c r="J6" s="6">
        <v>90</v>
      </c>
      <c r="K6" s="6">
        <v>25</v>
      </c>
      <c r="L6" s="6">
        <f t="shared" si="0"/>
        <v>45.5</v>
      </c>
    </row>
    <row r="7" spans="1:13">
      <c r="A7" s="2" t="s">
        <v>16</v>
      </c>
      <c r="B7" s="2"/>
      <c r="C7" s="4">
        <v>42396</v>
      </c>
      <c r="D7" s="5"/>
      <c r="E7" s="49"/>
      <c r="F7" s="5"/>
      <c r="G7" s="5"/>
      <c r="H7" s="5"/>
      <c r="I7" s="5"/>
      <c r="J7" s="6">
        <v>90</v>
      </c>
      <c r="K7" s="6">
        <v>25</v>
      </c>
      <c r="L7" s="6">
        <f t="shared" si="0"/>
        <v>45.5</v>
      </c>
    </row>
    <row r="8" spans="1:13">
      <c r="A8" s="2" t="s">
        <v>22</v>
      </c>
      <c r="B8" s="4">
        <v>42546</v>
      </c>
      <c r="C8" s="4">
        <v>42571</v>
      </c>
      <c r="D8" s="5"/>
      <c r="E8" s="49"/>
      <c r="F8" s="5">
        <f>6.9+8.5</f>
        <v>15.4</v>
      </c>
      <c r="G8" s="5">
        <f>25*25/30</f>
        <v>20.833333333333332</v>
      </c>
      <c r="H8" s="5"/>
      <c r="I8" s="5"/>
      <c r="J8" s="6">
        <v>120</v>
      </c>
      <c r="K8" s="6">
        <v>25</v>
      </c>
      <c r="L8" s="6">
        <f t="shared" si="0"/>
        <v>66.5</v>
      </c>
    </row>
    <row r="9" spans="1:13">
      <c r="A9" s="2" t="s">
        <v>23</v>
      </c>
      <c r="B9" s="4">
        <v>42560</v>
      </c>
      <c r="C9" s="4">
        <v>42571</v>
      </c>
      <c r="D9" s="5"/>
      <c r="E9" s="49"/>
      <c r="F9" s="5">
        <v>8.5</v>
      </c>
      <c r="G9" s="5">
        <f>25*41/30</f>
        <v>34.166666666666664</v>
      </c>
      <c r="H9" s="5"/>
      <c r="I9" s="5"/>
      <c r="J9" s="6">
        <v>107.5</v>
      </c>
      <c r="K9" s="6">
        <v>25</v>
      </c>
      <c r="L9" s="6">
        <f t="shared" si="0"/>
        <v>57.749999999999993</v>
      </c>
    </row>
    <row r="10" spans="1:13">
      <c r="A10" s="2" t="s">
        <v>24</v>
      </c>
      <c r="B10" s="4">
        <v>42530</v>
      </c>
      <c r="C10" s="4">
        <v>42579</v>
      </c>
      <c r="D10" s="5"/>
      <c r="E10" s="49"/>
      <c r="F10" s="5">
        <f>8.5+6.9</f>
        <v>15.4</v>
      </c>
      <c r="G10" s="5">
        <f>25*52/30</f>
        <v>43.333333333333336</v>
      </c>
      <c r="H10" s="5"/>
      <c r="I10" s="5"/>
      <c r="J10" s="6">
        <v>90</v>
      </c>
      <c r="K10" s="6">
        <v>25</v>
      </c>
      <c r="L10" s="6">
        <f t="shared" si="0"/>
        <v>45.5</v>
      </c>
    </row>
    <row r="11" spans="1:13">
      <c r="A11" s="2" t="s">
        <v>26</v>
      </c>
      <c r="B11" s="4">
        <v>42633</v>
      </c>
      <c r="C11" s="4">
        <v>42644</v>
      </c>
      <c r="D11" s="5"/>
      <c r="E11" s="49"/>
      <c r="F11" s="5">
        <v>8.17</v>
      </c>
      <c r="G11" s="5">
        <f>25/30*10</f>
        <v>8.3333333333333339</v>
      </c>
      <c r="H11" s="5"/>
      <c r="I11" s="5"/>
      <c r="J11" s="6">
        <v>70</v>
      </c>
      <c r="K11" s="6">
        <v>25</v>
      </c>
      <c r="L11" s="6">
        <f t="shared" si="0"/>
        <v>31.499999999999996</v>
      </c>
    </row>
    <row r="12" spans="1:13">
      <c r="A12" s="2" t="s">
        <v>27</v>
      </c>
      <c r="B12" s="4">
        <v>42656</v>
      </c>
      <c r="C12" s="4">
        <v>42705</v>
      </c>
      <c r="D12" s="5"/>
      <c r="E12" s="49"/>
      <c r="F12" s="5">
        <v>8.17</v>
      </c>
      <c r="G12" s="5">
        <f>K12/30*47</f>
        <v>39.166666666666671</v>
      </c>
      <c r="H12" s="5"/>
      <c r="I12" s="5"/>
      <c r="J12" s="6">
        <v>40</v>
      </c>
      <c r="K12" s="6">
        <v>25</v>
      </c>
      <c r="L12" s="6">
        <f t="shared" si="0"/>
        <v>10.5</v>
      </c>
    </row>
    <row r="13" spans="1:13">
      <c r="A13" s="2" t="s">
        <v>29</v>
      </c>
      <c r="B13" s="4">
        <v>42683</v>
      </c>
      <c r="C13" s="4">
        <v>42718</v>
      </c>
      <c r="D13" s="5"/>
      <c r="E13" s="49"/>
      <c r="F13" s="5">
        <v>8.9700000000000006</v>
      </c>
      <c r="G13" s="5">
        <f>K13/30*35</f>
        <v>42</v>
      </c>
      <c r="H13" s="5"/>
      <c r="I13" s="5"/>
      <c r="J13" s="6">
        <f>105</f>
        <v>105</v>
      </c>
      <c r="K13" s="6">
        <v>36</v>
      </c>
      <c r="L13" s="6">
        <f t="shared" si="0"/>
        <v>48.3</v>
      </c>
    </row>
    <row r="14" spans="1:13">
      <c r="A14" s="2" t="s">
        <v>28</v>
      </c>
      <c r="B14" s="4">
        <v>42711</v>
      </c>
      <c r="C14" s="4">
        <v>42734</v>
      </c>
      <c r="D14" s="5"/>
      <c r="E14" s="49"/>
      <c r="F14" s="5">
        <v>8.17</v>
      </c>
      <c r="G14" s="5">
        <f>K14/30*23</f>
        <v>19.166666666666668</v>
      </c>
      <c r="H14" s="5"/>
      <c r="I14" s="5"/>
      <c r="J14" s="6">
        <v>40</v>
      </c>
      <c r="K14" s="6">
        <v>25</v>
      </c>
      <c r="L14" s="6">
        <f t="shared" si="0"/>
        <v>10.5</v>
      </c>
    </row>
    <row r="15" spans="1:13">
      <c r="A15" s="2" t="s">
        <v>30</v>
      </c>
      <c r="B15" s="4">
        <v>42732</v>
      </c>
      <c r="C15" s="4">
        <v>42759</v>
      </c>
      <c r="D15" s="5"/>
      <c r="E15" s="49"/>
      <c r="F15" s="5">
        <v>18.8</v>
      </c>
      <c r="G15" s="5">
        <f>K15/30*27</f>
        <v>23.400000000000002</v>
      </c>
      <c r="H15" s="5"/>
      <c r="I15" s="5"/>
      <c r="J15" s="6">
        <v>90</v>
      </c>
      <c r="K15" s="6">
        <v>26</v>
      </c>
      <c r="L15" s="6">
        <f t="shared" si="0"/>
        <v>44.8</v>
      </c>
    </row>
    <row r="16" spans="1:13">
      <c r="A16" s="2" t="s">
        <v>31</v>
      </c>
      <c r="B16" s="4">
        <v>42735</v>
      </c>
      <c r="C16" s="4">
        <v>42782</v>
      </c>
      <c r="D16" s="5">
        <v>50</v>
      </c>
      <c r="E16" s="49"/>
      <c r="F16" s="5">
        <v>20.63</v>
      </c>
      <c r="G16" s="5">
        <f>K16/30*46</f>
        <v>42.933333333333337</v>
      </c>
      <c r="H16" s="5"/>
      <c r="I16" s="5"/>
      <c r="J16" s="6">
        <v>92</v>
      </c>
      <c r="K16" s="6">
        <v>28</v>
      </c>
      <c r="L16" s="6">
        <f t="shared" si="0"/>
        <v>44.8</v>
      </c>
    </row>
    <row r="17" spans="1:13">
      <c r="A17" s="2" t="s">
        <v>32</v>
      </c>
      <c r="B17" s="4">
        <v>42857</v>
      </c>
      <c r="C17" s="4">
        <v>42866</v>
      </c>
      <c r="D17" s="5"/>
      <c r="E17" s="49"/>
      <c r="F17" s="5"/>
      <c r="G17" s="5">
        <f>23/30*9</f>
        <v>6.9</v>
      </c>
      <c r="H17" s="5">
        <f>60*0.7</f>
        <v>42</v>
      </c>
      <c r="I17" s="5"/>
      <c r="J17" s="6">
        <v>60</v>
      </c>
      <c r="K17" s="6">
        <v>23</v>
      </c>
      <c r="L17" s="6">
        <f t="shared" si="0"/>
        <v>25.9</v>
      </c>
    </row>
    <row r="18" spans="1:13">
      <c r="A18" s="2" t="s">
        <v>37</v>
      </c>
      <c r="B18" s="4">
        <v>42891</v>
      </c>
      <c r="C18" s="4">
        <v>42915</v>
      </c>
      <c r="D18" s="5"/>
      <c r="E18" s="49"/>
      <c r="F18" s="5">
        <v>6.83</v>
      </c>
      <c r="G18" s="5">
        <f>24/30*24</f>
        <v>19.200000000000003</v>
      </c>
      <c r="H18" s="5"/>
      <c r="I18" s="5"/>
      <c r="J18" s="6">
        <v>70</v>
      </c>
      <c r="K18" s="6">
        <v>24</v>
      </c>
      <c r="L18" s="6">
        <f t="shared" si="0"/>
        <v>32.199999999999996</v>
      </c>
    </row>
    <row r="19" spans="1:13">
      <c r="A19" s="2" t="s">
        <v>39</v>
      </c>
      <c r="B19" s="4">
        <v>43081</v>
      </c>
      <c r="C19" s="4">
        <v>43109</v>
      </c>
      <c r="D19" s="5"/>
      <c r="E19" s="49"/>
      <c r="F19" s="5">
        <v>9.83</v>
      </c>
      <c r="G19" s="5">
        <f>36/30*28</f>
        <v>33.6</v>
      </c>
      <c r="H19" s="5"/>
      <c r="I19" s="5"/>
      <c r="J19" s="6">
        <v>120</v>
      </c>
      <c r="K19" s="6">
        <v>36</v>
      </c>
      <c r="L19" s="6">
        <f t="shared" si="0"/>
        <v>58.8</v>
      </c>
    </row>
    <row r="20" spans="1:13">
      <c r="A20" s="22" t="s">
        <v>56</v>
      </c>
      <c r="B20" s="4">
        <v>43361</v>
      </c>
      <c r="C20" s="4">
        <v>43132</v>
      </c>
      <c r="D20" s="5"/>
      <c r="E20" s="49"/>
      <c r="F20" s="5">
        <v>14.11</v>
      </c>
      <c r="G20" s="5">
        <f>25*4+25/30*12</f>
        <v>110</v>
      </c>
      <c r="H20" s="5"/>
      <c r="I20" s="5"/>
      <c r="J20" s="6">
        <v>75</v>
      </c>
      <c r="K20" s="6">
        <v>25</v>
      </c>
      <c r="L20" s="6">
        <f t="shared" si="0"/>
        <v>35</v>
      </c>
    </row>
    <row r="21" spans="1:13">
      <c r="A21" s="2" t="s">
        <v>40</v>
      </c>
      <c r="B21" s="4">
        <v>43106</v>
      </c>
      <c r="C21" s="4">
        <v>43146</v>
      </c>
      <c r="D21" s="5"/>
      <c r="E21" s="49"/>
      <c r="F21" s="5">
        <v>8.2899999999999991</v>
      </c>
      <c r="G21" s="5">
        <f>25/30*39</f>
        <v>32.5</v>
      </c>
      <c r="H21" s="5"/>
      <c r="I21" s="5"/>
      <c r="J21" s="6">
        <v>70</v>
      </c>
      <c r="K21" s="6">
        <v>26</v>
      </c>
      <c r="L21" s="6">
        <f t="shared" si="0"/>
        <v>30.799999999999997</v>
      </c>
    </row>
    <row r="22" spans="1:13">
      <c r="A22" s="2" t="s">
        <v>42</v>
      </c>
      <c r="B22" s="4">
        <v>43162</v>
      </c>
      <c r="C22" s="4">
        <v>43189</v>
      </c>
      <c r="D22" s="5"/>
      <c r="E22" s="49"/>
      <c r="F22" s="5">
        <v>9.92</v>
      </c>
      <c r="G22" s="5">
        <f>25/30*27</f>
        <v>22.5</v>
      </c>
      <c r="H22" s="5"/>
      <c r="I22" s="5"/>
      <c r="J22" s="6">
        <v>80</v>
      </c>
      <c r="K22" s="6">
        <v>26</v>
      </c>
      <c r="L22" s="6">
        <f t="shared" si="0"/>
        <v>37.799999999999997</v>
      </c>
    </row>
    <row r="23" spans="1:13">
      <c r="A23" s="9" t="s">
        <v>44</v>
      </c>
      <c r="B23" s="4">
        <v>43196</v>
      </c>
      <c r="C23" s="4">
        <v>43250</v>
      </c>
      <c r="D23" s="5"/>
      <c r="E23" s="49"/>
      <c r="F23" s="5">
        <v>13.78</v>
      </c>
      <c r="G23" s="5">
        <f>25*24/30+25</f>
        <v>45</v>
      </c>
      <c r="H23" s="5"/>
      <c r="I23" s="5"/>
      <c r="J23" s="6">
        <f>60</f>
        <v>60</v>
      </c>
      <c r="K23" s="6">
        <v>25</v>
      </c>
      <c r="L23" s="6">
        <f t="shared" si="0"/>
        <v>24.5</v>
      </c>
    </row>
    <row r="24" spans="1:13">
      <c r="A24" s="22" t="s">
        <v>47</v>
      </c>
      <c r="B24" s="4">
        <v>43355</v>
      </c>
      <c r="C24" s="4">
        <v>43277</v>
      </c>
      <c r="D24" s="5"/>
      <c r="E24" s="49"/>
      <c r="F24" s="5">
        <v>19.98</v>
      </c>
      <c r="G24" s="5">
        <f>36*2+36/30*16</f>
        <v>91.2</v>
      </c>
      <c r="H24" s="5"/>
      <c r="I24" s="5"/>
      <c r="J24" s="6">
        <v>105</v>
      </c>
      <c r="K24" s="6">
        <v>36</v>
      </c>
      <c r="L24" s="6">
        <f t="shared" si="0"/>
        <v>48.3</v>
      </c>
    </row>
    <row r="25" spans="1:13">
      <c r="A25" s="22" t="s">
        <v>48</v>
      </c>
      <c r="B25" s="4">
        <v>43367</v>
      </c>
      <c r="C25" s="4">
        <v>43284</v>
      </c>
      <c r="D25" s="5"/>
      <c r="E25" s="49"/>
      <c r="F25" s="5">
        <v>9.1</v>
      </c>
      <c r="G25" s="5">
        <f>25+25/30*27</f>
        <v>47.5</v>
      </c>
      <c r="H25" s="5"/>
      <c r="I25" s="5"/>
      <c r="J25" s="6">
        <v>75</v>
      </c>
      <c r="K25" s="6">
        <v>25</v>
      </c>
      <c r="L25" s="6">
        <f t="shared" si="0"/>
        <v>35</v>
      </c>
    </row>
    <row r="26" spans="1:13">
      <c r="A26" s="2" t="s">
        <v>45</v>
      </c>
      <c r="B26" s="4"/>
      <c r="C26" s="4">
        <v>43286</v>
      </c>
      <c r="D26" s="5"/>
      <c r="E26" s="49"/>
      <c r="F26" s="5">
        <v>11.56</v>
      </c>
      <c r="G26" s="5"/>
      <c r="H26" s="5"/>
      <c r="I26" s="5"/>
      <c r="J26" s="6">
        <v>150</v>
      </c>
      <c r="K26" s="6">
        <v>76</v>
      </c>
      <c r="L26" s="6">
        <f t="shared" si="0"/>
        <v>51.8</v>
      </c>
      <c r="M26" s="20"/>
    </row>
    <row r="27" spans="1:13">
      <c r="A27" s="22" t="s">
        <v>49</v>
      </c>
      <c r="B27" s="4">
        <v>43367</v>
      </c>
      <c r="C27" s="4">
        <v>43291</v>
      </c>
      <c r="D27" s="5"/>
      <c r="E27" s="49"/>
      <c r="F27" s="5">
        <v>10.039999999999999</v>
      </c>
      <c r="G27" s="5">
        <f>50+25/30*14</f>
        <v>61.666666666666671</v>
      </c>
      <c r="H27" s="5"/>
      <c r="I27" s="5"/>
      <c r="J27" s="6">
        <v>70</v>
      </c>
      <c r="K27" s="6">
        <v>25</v>
      </c>
      <c r="L27" s="6">
        <f t="shared" si="0"/>
        <v>31.499999999999996</v>
      </c>
    </row>
    <row r="28" spans="1:13">
      <c r="A28" s="22" t="s">
        <v>51</v>
      </c>
      <c r="B28" s="4">
        <v>43358</v>
      </c>
      <c r="C28" s="4">
        <v>43291</v>
      </c>
      <c r="D28" s="5"/>
      <c r="E28" s="49"/>
      <c r="F28" s="5">
        <v>10.039999999999999</v>
      </c>
      <c r="G28" s="5">
        <f>50+25/30*5</f>
        <v>54.166666666666664</v>
      </c>
      <c r="H28" s="5"/>
      <c r="I28" s="5"/>
      <c r="J28" s="6">
        <v>75</v>
      </c>
      <c r="K28" s="6">
        <v>25</v>
      </c>
      <c r="L28" s="6">
        <f t="shared" si="0"/>
        <v>35</v>
      </c>
    </row>
    <row r="29" spans="1:13">
      <c r="A29" s="22" t="s">
        <v>52</v>
      </c>
      <c r="B29" s="4">
        <v>43367</v>
      </c>
      <c r="C29" s="4">
        <v>43308</v>
      </c>
      <c r="D29" s="5"/>
      <c r="E29" s="49"/>
      <c r="F29" s="5">
        <v>10.86</v>
      </c>
      <c r="G29" s="5">
        <f>25+25/30*27</f>
        <v>47.5</v>
      </c>
      <c r="H29" s="5"/>
      <c r="I29" s="5"/>
      <c r="J29" s="6">
        <v>75</v>
      </c>
      <c r="K29" s="18">
        <v>25</v>
      </c>
      <c r="L29" s="18">
        <f t="shared" si="0"/>
        <v>35</v>
      </c>
    </row>
    <row r="30" spans="1:13">
      <c r="A30" s="22" t="s">
        <v>50</v>
      </c>
      <c r="B30" s="4">
        <v>43367</v>
      </c>
      <c r="C30" s="4">
        <v>43312</v>
      </c>
      <c r="D30" s="5"/>
      <c r="E30" s="49"/>
      <c r="F30" s="5">
        <v>10.86</v>
      </c>
      <c r="G30" s="5">
        <f>25+25/30*24</f>
        <v>45</v>
      </c>
      <c r="H30" s="5"/>
      <c r="I30" s="5"/>
      <c r="J30" s="6">
        <v>70</v>
      </c>
      <c r="K30" s="18">
        <v>25</v>
      </c>
      <c r="L30" s="18">
        <f t="shared" si="0"/>
        <v>31.499999999999996</v>
      </c>
    </row>
    <row r="31" spans="1:13">
      <c r="A31" s="22" t="s">
        <v>55</v>
      </c>
      <c r="B31" s="4">
        <v>43363</v>
      </c>
      <c r="C31" s="4">
        <v>43440</v>
      </c>
      <c r="D31" s="5"/>
      <c r="E31" s="49"/>
      <c r="F31" s="5">
        <v>14.11</v>
      </c>
      <c r="G31" s="5">
        <f>25*2+25*16/30</f>
        <v>63.333333333333336</v>
      </c>
      <c r="H31" s="5"/>
      <c r="I31" s="5"/>
      <c r="J31" s="6">
        <v>75</v>
      </c>
      <c r="K31" s="18">
        <v>25</v>
      </c>
      <c r="L31" s="18">
        <f t="shared" si="0"/>
        <v>35</v>
      </c>
    </row>
    <row r="32" spans="1:13">
      <c r="A32" s="22" t="s">
        <v>54</v>
      </c>
      <c r="B32" s="4">
        <v>43167</v>
      </c>
      <c r="C32" s="4">
        <v>43455</v>
      </c>
      <c r="D32" s="5"/>
      <c r="E32" s="49"/>
      <c r="F32" s="5">
        <v>10.86</v>
      </c>
      <c r="G32" s="5">
        <f>9*25+25*13/30</f>
        <v>235.83333333333334</v>
      </c>
      <c r="H32" s="5"/>
      <c r="I32" s="5"/>
      <c r="J32" s="6">
        <v>90</v>
      </c>
      <c r="K32" s="18">
        <v>36</v>
      </c>
      <c r="L32" s="18">
        <f t="shared" si="0"/>
        <v>37.799999999999997</v>
      </c>
    </row>
    <row r="33" spans="1:13">
      <c r="A33" s="22" t="s">
        <v>57</v>
      </c>
      <c r="B33" s="4">
        <v>43478</v>
      </c>
      <c r="C33" s="4">
        <v>43536</v>
      </c>
      <c r="D33" s="5"/>
      <c r="E33" s="49"/>
      <c r="F33" s="5">
        <v>10.86</v>
      </c>
      <c r="G33" s="5">
        <v>25</v>
      </c>
      <c r="H33" s="5"/>
      <c r="I33" s="5"/>
      <c r="J33" s="6">
        <v>70</v>
      </c>
      <c r="K33" s="6">
        <v>25</v>
      </c>
      <c r="L33" s="6">
        <f t="shared" si="0"/>
        <v>31.499999999999996</v>
      </c>
    </row>
    <row r="34" spans="1:13">
      <c r="A34" s="22" t="s">
        <v>59</v>
      </c>
      <c r="B34" s="4">
        <v>43528</v>
      </c>
      <c r="C34" s="4">
        <v>43538</v>
      </c>
      <c r="D34" s="5"/>
      <c r="E34" s="49"/>
      <c r="F34" s="5">
        <v>14.92</v>
      </c>
      <c r="G34" s="5">
        <f>77/30*10</f>
        <v>25.666666666666668</v>
      </c>
      <c r="H34" s="5"/>
      <c r="I34" s="5"/>
      <c r="J34" s="6">
        <v>169</v>
      </c>
      <c r="K34" s="6">
        <f>64+11+2</f>
        <v>77</v>
      </c>
      <c r="L34" s="6">
        <f t="shared" si="0"/>
        <v>64.399999999999991</v>
      </c>
    </row>
    <row r="35" spans="1:13">
      <c r="A35" s="22" t="s">
        <v>58</v>
      </c>
      <c r="B35" s="4">
        <v>43534</v>
      </c>
      <c r="C35" s="4">
        <v>43542</v>
      </c>
      <c r="D35" s="5"/>
      <c r="E35" s="49"/>
      <c r="F35" s="5">
        <f>10.86*2</f>
        <v>21.72</v>
      </c>
      <c r="G35" s="5">
        <v>0</v>
      </c>
      <c r="H35" s="5"/>
      <c r="I35" s="5"/>
      <c r="J35" s="6">
        <v>120</v>
      </c>
      <c r="K35" s="6">
        <f>60+11</f>
        <v>71</v>
      </c>
      <c r="L35" s="6">
        <f t="shared" si="0"/>
        <v>34.299999999999997</v>
      </c>
    </row>
    <row r="36" spans="1:13">
      <c r="A36" s="22" t="s">
        <v>61</v>
      </c>
      <c r="B36" s="4">
        <v>43482</v>
      </c>
      <c r="C36" s="4">
        <v>43542</v>
      </c>
      <c r="D36" s="5"/>
      <c r="E36" s="49"/>
      <c r="F36" s="5">
        <v>11.1</v>
      </c>
      <c r="G36" s="5">
        <f>25*2</f>
        <v>50</v>
      </c>
      <c r="H36" s="5"/>
      <c r="I36" s="5"/>
      <c r="J36" s="6">
        <v>70</v>
      </c>
      <c r="K36" s="6">
        <v>26</v>
      </c>
      <c r="L36" s="6">
        <f t="shared" si="0"/>
        <v>30.799999999999997</v>
      </c>
    </row>
    <row r="37" spans="1:13">
      <c r="A37" s="22" t="s">
        <v>63</v>
      </c>
      <c r="B37" s="4">
        <v>43593</v>
      </c>
      <c r="C37" s="4">
        <v>43605</v>
      </c>
      <c r="D37" s="5"/>
      <c r="E37" s="49"/>
      <c r="F37" s="5">
        <f>10.86*2+20</f>
        <v>41.72</v>
      </c>
      <c r="G37" s="5">
        <f>18/30*12</f>
        <v>7.1999999999999993</v>
      </c>
      <c r="H37" s="5"/>
      <c r="I37" s="5"/>
      <c r="J37" s="6">
        <v>100</v>
      </c>
      <c r="K37" s="6">
        <f>11+7</f>
        <v>18</v>
      </c>
      <c r="L37" s="6">
        <f t="shared" si="0"/>
        <v>57.4</v>
      </c>
    </row>
    <row r="38" spans="1:13">
      <c r="A38" s="22" t="s">
        <v>67</v>
      </c>
      <c r="B38" s="4">
        <v>43600</v>
      </c>
      <c r="C38" s="4">
        <v>43629</v>
      </c>
      <c r="D38" s="5"/>
      <c r="E38" s="49"/>
      <c r="F38" s="5">
        <f>10.86*2</f>
        <v>21.72</v>
      </c>
      <c r="G38" s="5">
        <f>22/30*58</f>
        <v>42.533333333333331</v>
      </c>
      <c r="H38" s="5">
        <v>50</v>
      </c>
      <c r="I38" s="5">
        <f>F38+G38+H38</f>
        <v>114.25333333333333</v>
      </c>
      <c r="J38" s="6">
        <v>60</v>
      </c>
      <c r="K38" s="6">
        <v>25</v>
      </c>
      <c r="L38" s="6">
        <v>0</v>
      </c>
    </row>
    <row r="39" spans="1:13">
      <c r="A39" s="22" t="s">
        <v>66</v>
      </c>
      <c r="B39" s="4">
        <v>43600</v>
      </c>
      <c r="C39" s="4">
        <v>43629</v>
      </c>
      <c r="D39" s="5"/>
      <c r="E39" s="49"/>
      <c r="F39" s="5">
        <f>10.86</f>
        <v>10.86</v>
      </c>
      <c r="G39" s="5">
        <f>39/30*58</f>
        <v>75.400000000000006</v>
      </c>
      <c r="H39" s="5"/>
      <c r="I39" s="5">
        <f>F39+G39</f>
        <v>86.26</v>
      </c>
      <c r="J39" s="6">
        <v>110</v>
      </c>
      <c r="K39" s="6">
        <f>25+11+3</f>
        <v>39</v>
      </c>
      <c r="L39" s="6">
        <v>0</v>
      </c>
      <c r="M39" t="s">
        <v>73</v>
      </c>
    </row>
    <row r="40" spans="1:13">
      <c r="A40" s="22" t="s">
        <v>64</v>
      </c>
      <c r="B40" s="4">
        <v>43627</v>
      </c>
      <c r="C40" s="4">
        <v>43629</v>
      </c>
      <c r="D40" s="5"/>
      <c r="E40" s="49"/>
      <c r="F40" s="5">
        <v>10.86</v>
      </c>
      <c r="G40" s="5">
        <f>25/30*2</f>
        <v>1.6666666666666667</v>
      </c>
      <c r="H40" s="5"/>
      <c r="I40" s="5">
        <f>F40+G40</f>
        <v>12.526666666666666</v>
      </c>
      <c r="J40" s="6">
        <v>90</v>
      </c>
      <c r="K40" s="6">
        <v>25</v>
      </c>
      <c r="L40" s="6">
        <f t="shared" si="0"/>
        <v>45.5</v>
      </c>
    </row>
    <row r="41" spans="1:13">
      <c r="A41" s="22" t="s">
        <v>65</v>
      </c>
      <c r="B41" s="4">
        <v>43622</v>
      </c>
      <c r="C41" s="4">
        <v>43650</v>
      </c>
      <c r="D41" s="5"/>
      <c r="E41" s="49"/>
      <c r="F41" s="5">
        <v>10.86</v>
      </c>
      <c r="G41" s="5"/>
      <c r="H41" s="5"/>
      <c r="I41" s="5"/>
      <c r="J41" s="6">
        <v>120</v>
      </c>
      <c r="K41" s="6">
        <v>60</v>
      </c>
      <c r="L41" s="6">
        <f t="shared" si="0"/>
        <v>42</v>
      </c>
    </row>
    <row r="42" spans="1:13">
      <c r="A42" s="22" t="s">
        <v>71</v>
      </c>
      <c r="B42" s="4">
        <v>43635</v>
      </c>
      <c r="C42" s="4">
        <v>43662</v>
      </c>
      <c r="D42" s="5"/>
      <c r="E42" s="49"/>
      <c r="F42" s="5">
        <f>10.86*2</f>
        <v>21.72</v>
      </c>
      <c r="G42" s="5"/>
      <c r="H42" s="5"/>
      <c r="I42" s="5"/>
      <c r="J42" s="6">
        <v>70</v>
      </c>
      <c r="K42" s="6">
        <v>26</v>
      </c>
      <c r="L42" s="6">
        <f t="shared" si="0"/>
        <v>30.799999999999997</v>
      </c>
      <c r="M42" t="s">
        <v>72</v>
      </c>
    </row>
    <row r="43" spans="1:13">
      <c r="A43" s="22" t="s">
        <v>77</v>
      </c>
      <c r="B43" s="4">
        <v>43682</v>
      </c>
      <c r="C43" s="4">
        <v>43682</v>
      </c>
      <c r="D43" s="5"/>
      <c r="E43" s="49"/>
      <c r="F43" s="5"/>
      <c r="G43" s="5"/>
      <c r="H43" s="5"/>
      <c r="I43" s="5"/>
      <c r="J43" s="6">
        <v>10</v>
      </c>
      <c r="K43" s="6">
        <v>1</v>
      </c>
      <c r="L43" s="6">
        <f t="shared" si="0"/>
        <v>6.3</v>
      </c>
    </row>
    <row r="44" spans="1:13">
      <c r="A44" s="2" t="s">
        <v>74</v>
      </c>
      <c r="B44" s="4">
        <v>43661</v>
      </c>
      <c r="C44" s="4">
        <v>43711</v>
      </c>
      <c r="D44" s="5"/>
      <c r="E44" s="49"/>
      <c r="F44" s="5">
        <v>10.86</v>
      </c>
      <c r="G44" s="5">
        <f>36/30*48</f>
        <v>57.599999999999994</v>
      </c>
      <c r="H44" s="5"/>
      <c r="I44" s="5"/>
      <c r="J44" s="6">
        <v>105</v>
      </c>
      <c r="K44" s="6">
        <v>36</v>
      </c>
      <c r="L44" s="6">
        <f t="shared" si="0"/>
        <v>48.3</v>
      </c>
    </row>
    <row r="45" spans="1:13">
      <c r="A45" s="2" t="s">
        <v>75</v>
      </c>
      <c r="B45" s="4">
        <v>43656</v>
      </c>
      <c r="C45" s="4">
        <v>43711</v>
      </c>
      <c r="D45" s="5"/>
      <c r="E45" s="49"/>
      <c r="F45" s="5">
        <v>10.86</v>
      </c>
      <c r="G45" s="5">
        <f>36/30*48</f>
        <v>57.599999999999994</v>
      </c>
      <c r="H45" s="5"/>
      <c r="I45" s="5"/>
      <c r="J45" s="6">
        <v>105</v>
      </c>
      <c r="K45" s="6">
        <v>36</v>
      </c>
      <c r="L45" s="18">
        <f t="shared" si="0"/>
        <v>48.3</v>
      </c>
    </row>
    <row r="46" spans="1:13">
      <c r="A46" s="2" t="s">
        <v>76</v>
      </c>
      <c r="B46" s="4">
        <v>43677</v>
      </c>
      <c r="C46" s="4">
        <v>43713</v>
      </c>
      <c r="D46" s="5"/>
      <c r="E46" s="49"/>
      <c r="F46" s="5">
        <v>24.06</v>
      </c>
      <c r="G46" s="5">
        <f>80/30*35</f>
        <v>93.333333333333329</v>
      </c>
      <c r="H46" s="5">
        <v>40</v>
      </c>
      <c r="I46" s="5"/>
      <c r="J46" s="6">
        <v>149</v>
      </c>
      <c r="K46" s="6">
        <v>80</v>
      </c>
      <c r="L46" s="6">
        <f t="shared" si="0"/>
        <v>48.3</v>
      </c>
      <c r="M46" t="s">
        <v>79</v>
      </c>
    </row>
    <row r="47" spans="1:13">
      <c r="A47" s="22" t="s">
        <v>78</v>
      </c>
      <c r="B47" s="4">
        <v>43747</v>
      </c>
      <c r="C47" s="4">
        <v>43789</v>
      </c>
      <c r="D47" s="5"/>
      <c r="E47" s="49"/>
      <c r="F47" s="5">
        <f>9.51+9.44</f>
        <v>18.95</v>
      </c>
      <c r="G47" s="5">
        <f>52/30*41</f>
        <v>71.066666666666663</v>
      </c>
      <c r="H47" s="5"/>
      <c r="I47" s="5"/>
      <c r="J47" s="17">
        <v>99</v>
      </c>
      <c r="K47" s="18">
        <f>52</f>
        <v>52</v>
      </c>
      <c r="L47" s="6">
        <f t="shared" si="0"/>
        <v>32.9</v>
      </c>
    </row>
    <row r="48" spans="1:13">
      <c r="A48" s="2" t="s">
        <v>81</v>
      </c>
      <c r="B48" s="4">
        <v>43788</v>
      </c>
      <c r="C48" s="4">
        <v>43865</v>
      </c>
      <c r="D48" s="5"/>
      <c r="E48" s="49"/>
      <c r="F48" s="5">
        <v>9.14</v>
      </c>
      <c r="G48" s="5">
        <f>25/30*45</f>
        <v>37.5</v>
      </c>
      <c r="H48" s="5"/>
      <c r="I48" s="5"/>
      <c r="J48" s="6">
        <v>90</v>
      </c>
      <c r="K48" s="6">
        <v>25</v>
      </c>
      <c r="L48" s="27">
        <f t="shared" si="0"/>
        <v>45.5</v>
      </c>
    </row>
    <row r="49" spans="1:14">
      <c r="A49" s="22" t="s">
        <v>87</v>
      </c>
      <c r="B49" s="35">
        <v>43878</v>
      </c>
      <c r="C49" s="35">
        <v>43892</v>
      </c>
      <c r="D49" s="5"/>
      <c r="E49" s="49"/>
      <c r="F49" s="5">
        <v>12.19</v>
      </c>
      <c r="G49" s="5">
        <v>5.5</v>
      </c>
      <c r="H49" s="5"/>
      <c r="I49" s="5"/>
      <c r="J49" s="6">
        <v>25</v>
      </c>
      <c r="K49" s="6">
        <v>11</v>
      </c>
      <c r="L49" s="6">
        <f t="shared" si="0"/>
        <v>9.7999999999999989</v>
      </c>
    </row>
    <row r="50" spans="1:14">
      <c r="A50" s="22" t="s">
        <v>89</v>
      </c>
      <c r="B50" s="35">
        <v>43908</v>
      </c>
      <c r="C50" s="35">
        <v>43893</v>
      </c>
      <c r="D50" s="5"/>
      <c r="E50" s="49"/>
      <c r="F50" s="5">
        <v>9.6</v>
      </c>
      <c r="G50" s="5">
        <v>5.5</v>
      </c>
      <c r="H50" s="5"/>
      <c r="I50" s="5"/>
      <c r="J50" s="6">
        <v>25</v>
      </c>
      <c r="K50" s="6">
        <v>11</v>
      </c>
      <c r="L50" s="6">
        <f t="shared" si="0"/>
        <v>9.7999999999999989</v>
      </c>
    </row>
    <row r="51" spans="1:14">
      <c r="A51" s="22" t="s">
        <v>85</v>
      </c>
      <c r="B51" s="35">
        <v>43881</v>
      </c>
      <c r="C51" s="35">
        <v>43895</v>
      </c>
      <c r="D51" s="5"/>
      <c r="E51" s="49"/>
      <c r="F51" s="5">
        <v>9.14</v>
      </c>
      <c r="G51" s="5">
        <f>11/30*15</f>
        <v>5.5</v>
      </c>
      <c r="H51" s="5"/>
      <c r="I51" s="5"/>
      <c r="J51" s="6">
        <v>25</v>
      </c>
      <c r="K51" s="6">
        <v>11</v>
      </c>
      <c r="L51" s="6">
        <f t="shared" si="0"/>
        <v>9.7999999999999989</v>
      </c>
    </row>
    <row r="52" spans="1:14">
      <c r="A52" s="22" t="s">
        <v>86</v>
      </c>
      <c r="B52" s="35">
        <v>43882</v>
      </c>
      <c r="C52" s="35">
        <v>43896</v>
      </c>
      <c r="D52" s="5"/>
      <c r="E52" s="49"/>
      <c r="F52" s="5">
        <v>12.19</v>
      </c>
      <c r="G52" s="5">
        <f>22/2</f>
        <v>11</v>
      </c>
      <c r="H52" s="5"/>
      <c r="I52" s="5"/>
      <c r="J52" s="6">
        <v>60</v>
      </c>
      <c r="K52" s="6">
        <v>22</v>
      </c>
      <c r="L52" s="6">
        <f t="shared" si="0"/>
        <v>26.599999999999998</v>
      </c>
    </row>
    <row r="53" spans="1:14">
      <c r="A53" s="22" t="s">
        <v>82</v>
      </c>
      <c r="B53" s="45">
        <v>40235</v>
      </c>
      <c r="C53" s="35">
        <v>43901</v>
      </c>
      <c r="D53" s="5"/>
      <c r="E53" s="49"/>
      <c r="F53" s="5">
        <v>9.6</v>
      </c>
      <c r="G53" s="5">
        <f>11/2</f>
        <v>5.5</v>
      </c>
      <c r="H53" s="5"/>
      <c r="I53" s="5"/>
      <c r="J53" s="6">
        <v>25</v>
      </c>
      <c r="K53" s="6">
        <v>11</v>
      </c>
      <c r="L53" s="6">
        <f t="shared" si="0"/>
        <v>9.7999999999999989</v>
      </c>
    </row>
    <row r="54" spans="1:14">
      <c r="A54" s="22" t="s">
        <v>84</v>
      </c>
      <c r="B54" s="35">
        <v>43889</v>
      </c>
      <c r="C54" s="35">
        <v>43903</v>
      </c>
      <c r="D54" s="5"/>
      <c r="E54" s="49"/>
      <c r="F54" s="5">
        <v>9.14</v>
      </c>
      <c r="G54" s="5">
        <f>11/30*15</f>
        <v>5.5</v>
      </c>
      <c r="H54" s="5"/>
      <c r="I54" s="5"/>
      <c r="J54" s="6">
        <v>25</v>
      </c>
      <c r="K54" s="6">
        <v>11</v>
      </c>
      <c r="L54" s="6">
        <f t="shared" si="0"/>
        <v>9.7999999999999989</v>
      </c>
    </row>
    <row r="55" spans="1:14">
      <c r="A55" s="22" t="s">
        <v>80</v>
      </c>
      <c r="B55" s="35">
        <v>43873</v>
      </c>
      <c r="C55" s="35">
        <v>43910</v>
      </c>
      <c r="D55" s="5"/>
      <c r="E55" s="49"/>
      <c r="F55" s="5">
        <v>21.84</v>
      </c>
      <c r="G55" s="5">
        <f>56/30*38</f>
        <v>70.933333333333337</v>
      </c>
      <c r="H55" s="5"/>
      <c r="I55" s="5"/>
      <c r="J55" s="6">
        <v>120</v>
      </c>
      <c r="K55" s="6">
        <v>56</v>
      </c>
      <c r="L55" s="6">
        <f t="shared" si="0"/>
        <v>44.8</v>
      </c>
    </row>
    <row r="56" spans="1:14">
      <c r="A56" s="22" t="s">
        <v>83</v>
      </c>
      <c r="B56" s="35">
        <v>43872</v>
      </c>
      <c r="C56" s="35">
        <v>43913</v>
      </c>
      <c r="D56" s="5"/>
      <c r="E56" s="49"/>
      <c r="F56" s="5">
        <v>12.24</v>
      </c>
      <c r="G56" s="5">
        <f>45/30*42</f>
        <v>63</v>
      </c>
      <c r="H56" s="5"/>
      <c r="I56" s="5"/>
      <c r="J56" s="6">
        <v>85</v>
      </c>
      <c r="K56" s="6">
        <v>45</v>
      </c>
      <c r="L56" s="6">
        <f t="shared" si="0"/>
        <v>28</v>
      </c>
    </row>
    <row r="57" spans="1:14">
      <c r="A57" s="22" t="s">
        <v>88</v>
      </c>
      <c r="B57" s="35">
        <v>43855</v>
      </c>
      <c r="C57" s="35">
        <v>43941</v>
      </c>
      <c r="D57" s="5"/>
      <c r="E57" s="49"/>
      <c r="F57" s="5">
        <v>13.93</v>
      </c>
      <c r="G57" s="5">
        <f>56/30*85</f>
        <v>158.66666666666666</v>
      </c>
      <c r="H57" s="5"/>
      <c r="I57" s="5"/>
      <c r="J57" s="6">
        <v>110</v>
      </c>
      <c r="K57" s="6">
        <v>56</v>
      </c>
      <c r="L57" s="6">
        <f t="shared" si="0"/>
        <v>37.799999999999997</v>
      </c>
    </row>
    <row r="58" spans="1:14">
      <c r="A58" s="22" t="s">
        <v>90</v>
      </c>
      <c r="B58" s="35" t="s">
        <v>96</v>
      </c>
      <c r="C58" s="35">
        <v>44015</v>
      </c>
      <c r="D58" s="5" t="s">
        <v>160</v>
      </c>
      <c r="E58" s="49">
        <v>12.5</v>
      </c>
      <c r="F58" s="5">
        <v>11.29</v>
      </c>
      <c r="G58" s="5">
        <f>100</f>
        <v>100</v>
      </c>
      <c r="H58" s="5"/>
      <c r="I58" s="5"/>
      <c r="J58" s="6">
        <v>75</v>
      </c>
      <c r="K58" s="6">
        <f>25+11</f>
        <v>36</v>
      </c>
      <c r="L58" s="6">
        <f>12.5+(62.5-K58)*0.7</f>
        <v>31.049999999999997</v>
      </c>
      <c r="N58" s="41"/>
    </row>
    <row r="59" spans="1:14">
      <c r="A59" s="22" t="s">
        <v>97</v>
      </c>
      <c r="B59" s="35">
        <v>43990</v>
      </c>
      <c r="C59" s="35">
        <v>44036</v>
      </c>
      <c r="D59" s="5"/>
      <c r="E59" s="49"/>
      <c r="F59" s="5">
        <v>8.75</v>
      </c>
      <c r="G59" s="5">
        <f>56/30*46</f>
        <v>85.866666666666674</v>
      </c>
      <c r="H59" s="5"/>
      <c r="I59" s="5"/>
      <c r="J59" s="6">
        <v>110</v>
      </c>
      <c r="K59" s="6">
        <f>45+11</f>
        <v>56</v>
      </c>
      <c r="L59" s="6">
        <f>(J59-K59)*0.7</f>
        <v>37.799999999999997</v>
      </c>
    </row>
    <row r="60" spans="1:14">
      <c r="A60" s="22" t="s">
        <v>95</v>
      </c>
      <c r="B60" s="35">
        <v>44028</v>
      </c>
      <c r="C60" s="35">
        <v>44040</v>
      </c>
      <c r="D60" s="5"/>
      <c r="E60" s="49"/>
      <c r="F60" s="5">
        <v>8.75</v>
      </c>
      <c r="G60" s="5">
        <f>41/30*12</f>
        <v>16.399999999999999</v>
      </c>
      <c r="H60" s="5"/>
      <c r="I60" s="5"/>
      <c r="J60" s="6">
        <v>60</v>
      </c>
      <c r="K60" s="6">
        <v>41</v>
      </c>
      <c r="L60" s="6">
        <f>(J60-K60)*0.7</f>
        <v>13.299999999999999</v>
      </c>
    </row>
    <row r="61" spans="1:14">
      <c r="A61" s="22" t="s">
        <v>93</v>
      </c>
      <c r="B61" s="35">
        <v>44043</v>
      </c>
      <c r="C61" s="35">
        <v>44043</v>
      </c>
      <c r="D61" s="5" t="s">
        <v>160</v>
      </c>
      <c r="E61" s="49">
        <v>15</v>
      </c>
      <c r="F61" s="5">
        <v>27.02</v>
      </c>
      <c r="G61" s="5">
        <v>0</v>
      </c>
      <c r="H61" s="5"/>
      <c r="I61" s="5"/>
      <c r="J61" s="6">
        <v>160</v>
      </c>
      <c r="K61" s="6">
        <f>45+22</f>
        <v>67</v>
      </c>
      <c r="L61" s="6">
        <f>15+78*0.7</f>
        <v>69.599999999999994</v>
      </c>
      <c r="N61" s="41"/>
    </row>
    <row r="62" spans="1:14">
      <c r="A62" s="22" t="s">
        <v>98</v>
      </c>
      <c r="B62" s="35">
        <v>44048</v>
      </c>
      <c r="C62" s="35">
        <v>44081</v>
      </c>
      <c r="D62" s="5" t="s">
        <v>160</v>
      </c>
      <c r="E62" s="49">
        <v>17.5</v>
      </c>
      <c r="F62" s="5">
        <v>27.88</v>
      </c>
      <c r="G62" s="5">
        <f>58/30*32</f>
        <v>61.866666666666667</v>
      </c>
      <c r="H62" s="5">
        <v>125</v>
      </c>
      <c r="I62" s="5"/>
      <c r="J62" s="6">
        <v>140</v>
      </c>
      <c r="K62" s="6">
        <f>25+33</f>
        <v>58</v>
      </c>
      <c r="L62" s="6">
        <f>17.5+64.5*0.7</f>
        <v>62.65</v>
      </c>
      <c r="N62" s="41"/>
    </row>
    <row r="63" spans="1:14">
      <c r="A63" s="22" t="s">
        <v>91</v>
      </c>
      <c r="B63" s="35">
        <v>44011</v>
      </c>
      <c r="C63" s="35">
        <v>44084</v>
      </c>
      <c r="D63" s="5"/>
      <c r="E63" s="49"/>
      <c r="F63" s="5">
        <v>11.29</v>
      </c>
      <c r="G63" s="5">
        <f>25/30*71</f>
        <v>59.166666666666671</v>
      </c>
      <c r="H63" s="5"/>
      <c r="I63" s="5"/>
      <c r="J63" s="6">
        <v>40</v>
      </c>
      <c r="K63" s="6">
        <v>25</v>
      </c>
      <c r="L63" s="6">
        <f>(J63-K63)*0.7</f>
        <v>10.5</v>
      </c>
    </row>
    <row r="64" spans="1:14">
      <c r="A64" s="2" t="s">
        <v>99</v>
      </c>
      <c r="B64" s="35">
        <v>44084</v>
      </c>
      <c r="C64" s="35">
        <v>44105</v>
      </c>
      <c r="D64" s="5" t="s">
        <v>160</v>
      </c>
      <c r="E64" s="49">
        <v>5</v>
      </c>
      <c r="F64" s="5">
        <v>12.24</v>
      </c>
      <c r="G64" s="5">
        <f>25/30*20</f>
        <v>16.666666666666668</v>
      </c>
      <c r="H64" s="5"/>
      <c r="I64" s="5"/>
      <c r="J64" s="43">
        <v>40</v>
      </c>
      <c r="K64" s="6">
        <v>22</v>
      </c>
      <c r="L64" s="6">
        <f>5+13*0.7</f>
        <v>14.1</v>
      </c>
      <c r="N64" s="41"/>
    </row>
    <row r="65" spans="1:14">
      <c r="A65" s="2" t="s">
        <v>102</v>
      </c>
      <c r="B65" s="4" t="s">
        <v>103</v>
      </c>
      <c r="C65" s="4">
        <v>44110</v>
      </c>
      <c r="D65" s="5" t="s">
        <v>160</v>
      </c>
      <c r="E65" s="49">
        <v>10</v>
      </c>
      <c r="F65" s="5">
        <v>36.65</v>
      </c>
      <c r="G65" s="5">
        <f>115/30*26</f>
        <v>99.666666666666671</v>
      </c>
      <c r="H65" s="5"/>
      <c r="I65" s="5"/>
      <c r="J65" s="6">
        <v>180</v>
      </c>
      <c r="K65" s="6">
        <v>115</v>
      </c>
      <c r="L65" s="6">
        <f>10+55*0.7</f>
        <v>48.5</v>
      </c>
      <c r="N65" s="41"/>
    </row>
    <row r="66" spans="1:14">
      <c r="A66" s="2" t="s">
        <v>94</v>
      </c>
      <c r="B66" s="35">
        <v>44124</v>
      </c>
      <c r="C66" s="35">
        <v>44124</v>
      </c>
      <c r="D66" s="5"/>
      <c r="E66" s="49"/>
      <c r="F66" s="5">
        <v>7.25</v>
      </c>
      <c r="G66" s="5">
        <v>0</v>
      </c>
      <c r="H66" s="5"/>
      <c r="I66" s="5"/>
      <c r="J66" s="6">
        <v>25</v>
      </c>
      <c r="K66" s="6">
        <v>11</v>
      </c>
      <c r="L66" s="6">
        <f>(J66-K66)*0.7</f>
        <v>9.7999999999999989</v>
      </c>
    </row>
    <row r="67" spans="1:14">
      <c r="A67" s="2" t="s">
        <v>100</v>
      </c>
      <c r="B67" s="4">
        <v>44018</v>
      </c>
      <c r="C67" s="4">
        <v>44124</v>
      </c>
      <c r="D67" s="40"/>
      <c r="E67" s="2"/>
      <c r="F67" s="5">
        <v>9.5</v>
      </c>
      <c r="G67" s="5">
        <f>25/30*104</f>
        <v>86.666666666666671</v>
      </c>
      <c r="H67" s="5"/>
      <c r="I67" s="5"/>
      <c r="J67" s="6">
        <v>70</v>
      </c>
      <c r="K67" s="6">
        <v>25</v>
      </c>
      <c r="L67" s="6">
        <f>(J67-K67)*0.7</f>
        <v>31.499999999999996</v>
      </c>
    </row>
    <row r="68" spans="1:14">
      <c r="A68" s="2" t="s">
        <v>101</v>
      </c>
      <c r="B68" s="4">
        <v>44070</v>
      </c>
      <c r="C68" s="4">
        <v>44131</v>
      </c>
      <c r="D68" s="40"/>
      <c r="E68" s="2"/>
      <c r="F68" s="5">
        <v>13.93</v>
      </c>
      <c r="G68" s="5">
        <f>71/30*60</f>
        <v>142</v>
      </c>
      <c r="H68" s="5"/>
      <c r="I68" s="5"/>
      <c r="J68" s="6">
        <v>120</v>
      </c>
      <c r="K68" s="6">
        <f>60+11</f>
        <v>71</v>
      </c>
      <c r="L68" s="6">
        <f>(J68-K68)*0.7</f>
        <v>34.299999999999997</v>
      </c>
    </row>
    <row r="69" spans="1:14">
      <c r="A69" s="22" t="s">
        <v>104</v>
      </c>
      <c r="B69" s="4">
        <v>44159</v>
      </c>
      <c r="C69" s="4">
        <v>44187</v>
      </c>
      <c r="D69" s="40"/>
      <c r="E69" s="2"/>
      <c r="F69" s="5">
        <v>13.93</v>
      </c>
      <c r="G69" s="5">
        <f>36/30*28</f>
        <v>33.6</v>
      </c>
      <c r="H69" s="5"/>
      <c r="I69" s="5"/>
      <c r="J69" s="6">
        <v>110</v>
      </c>
      <c r="K69" s="6">
        <f>25+11</f>
        <v>36</v>
      </c>
      <c r="L69" s="6">
        <f>(J69-K69)*0.7</f>
        <v>51.8</v>
      </c>
    </row>
    <row r="70" spans="1:14">
      <c r="A70" s="39" t="s">
        <v>120</v>
      </c>
      <c r="B70" s="15">
        <v>44169</v>
      </c>
      <c r="C70" s="15">
        <v>44208</v>
      </c>
      <c r="D70" s="5" t="s">
        <v>160</v>
      </c>
      <c r="E70" s="34">
        <v>10</v>
      </c>
      <c r="F70" s="37"/>
      <c r="G70" s="5">
        <f>41/30*38</f>
        <v>51.933333333333337</v>
      </c>
      <c r="H70" s="5"/>
      <c r="I70" s="5"/>
      <c r="J70" s="17">
        <v>70</v>
      </c>
      <c r="K70" s="26">
        <v>45</v>
      </c>
      <c r="L70" s="37">
        <f>10+(60-45)*0.7</f>
        <v>20.5</v>
      </c>
      <c r="M70" s="1" t="s">
        <v>145</v>
      </c>
    </row>
    <row r="71" spans="1:14">
      <c r="A71" s="22" t="s">
        <v>108</v>
      </c>
      <c r="B71" s="4">
        <v>44185</v>
      </c>
      <c r="C71" s="4">
        <v>44242</v>
      </c>
      <c r="D71" s="5" t="s">
        <v>160</v>
      </c>
      <c r="E71" s="49">
        <v>20</v>
      </c>
      <c r="F71" s="5">
        <v>26.48</v>
      </c>
      <c r="G71" s="5">
        <f>50/30*55</f>
        <v>91.666666666666671</v>
      </c>
      <c r="H71" s="5">
        <v>160</v>
      </c>
      <c r="I71" s="5"/>
      <c r="J71" s="6">
        <v>190</v>
      </c>
      <c r="K71" s="6">
        <v>61</v>
      </c>
      <c r="L71" s="5">
        <f>(20+(170-61)*0.7)</f>
        <v>96.3</v>
      </c>
      <c r="M71" s="1" t="s">
        <v>145</v>
      </c>
    </row>
    <row r="72" spans="1:14">
      <c r="A72" s="22" t="s">
        <v>109</v>
      </c>
      <c r="B72" s="4">
        <v>44209</v>
      </c>
      <c r="C72" s="4">
        <v>44250</v>
      </c>
      <c r="D72" s="5" t="s">
        <v>160</v>
      </c>
      <c r="E72" s="49">
        <v>22.5</v>
      </c>
      <c r="F72" s="5">
        <v>22.83</v>
      </c>
      <c r="G72" s="5">
        <f>100/30*40</f>
        <v>133.33333333333334</v>
      </c>
      <c r="H72" s="5">
        <v>125</v>
      </c>
      <c r="I72" s="5"/>
      <c r="J72" s="6">
        <v>210</v>
      </c>
      <c r="K72" s="6">
        <v>100</v>
      </c>
      <c r="L72" s="6">
        <f>(22.5+87.5*0.7)</f>
        <v>83.75</v>
      </c>
    </row>
    <row r="73" spans="1:14">
      <c r="A73" s="2" t="s">
        <v>113</v>
      </c>
      <c r="B73" s="4">
        <v>44245</v>
      </c>
      <c r="C73" s="4">
        <v>44271</v>
      </c>
      <c r="D73" s="5" t="s">
        <v>160</v>
      </c>
      <c r="E73" s="49">
        <v>15</v>
      </c>
      <c r="F73" s="5">
        <v>26.76</v>
      </c>
      <c r="G73" s="5">
        <f>67/30*28</f>
        <v>62.533333333333331</v>
      </c>
      <c r="H73" s="5"/>
      <c r="I73" s="5"/>
      <c r="J73" s="6">
        <v>140</v>
      </c>
      <c r="K73" s="6">
        <v>67</v>
      </c>
      <c r="L73" s="6">
        <f>(15+0.7*58)</f>
        <v>55.599999999999994</v>
      </c>
    </row>
    <row r="74" spans="1:14">
      <c r="A74" s="2" t="s">
        <v>114</v>
      </c>
      <c r="B74" s="4">
        <v>44222</v>
      </c>
      <c r="C74" s="4">
        <v>44279</v>
      </c>
      <c r="D74" s="5" t="s">
        <v>160</v>
      </c>
      <c r="E74" s="49">
        <v>12.5</v>
      </c>
      <c r="F74" s="5">
        <v>13.4</v>
      </c>
      <c r="G74" s="5">
        <f>56/30*58</f>
        <v>108.26666666666667</v>
      </c>
      <c r="H74" s="5">
        <v>100</v>
      </c>
      <c r="I74" s="5"/>
      <c r="J74" s="6">
        <v>140</v>
      </c>
      <c r="K74" s="6">
        <v>56</v>
      </c>
      <c r="L74" s="5">
        <f>(12.5+71.5*0.7)</f>
        <v>62.55</v>
      </c>
      <c r="M74" s="1" t="s">
        <v>145</v>
      </c>
    </row>
    <row r="75" spans="1:14">
      <c r="A75" s="2" t="s">
        <v>112</v>
      </c>
      <c r="B75" s="4">
        <v>44270</v>
      </c>
      <c r="C75" s="4">
        <v>44286</v>
      </c>
      <c r="D75" s="5" t="s">
        <v>160</v>
      </c>
      <c r="E75" s="49">
        <v>17.5</v>
      </c>
      <c r="F75" s="5">
        <v>31.96</v>
      </c>
      <c r="G75" s="5">
        <f>55/30*16</f>
        <v>29.333333333333332</v>
      </c>
      <c r="H75" s="5">
        <v>75</v>
      </c>
      <c r="I75" s="5"/>
      <c r="J75" s="6">
        <v>100</v>
      </c>
      <c r="K75" s="6">
        <v>55</v>
      </c>
      <c r="L75" s="6">
        <f>(17.5+27.5*0.7)</f>
        <v>36.75</v>
      </c>
    </row>
    <row r="76" spans="1:14">
      <c r="A76" s="2" t="s">
        <v>119</v>
      </c>
      <c r="B76" s="4">
        <v>44281</v>
      </c>
      <c r="C76" s="4">
        <v>44316</v>
      </c>
      <c r="D76" s="40"/>
      <c r="E76" s="2"/>
      <c r="F76" s="5">
        <v>14.26</v>
      </c>
      <c r="G76" s="5">
        <f>45/30*34</f>
        <v>51</v>
      </c>
      <c r="H76" s="5"/>
      <c r="I76" s="5"/>
      <c r="J76" s="6">
        <v>110</v>
      </c>
      <c r="K76" s="6">
        <v>45</v>
      </c>
      <c r="L76" s="6">
        <f>(65*0.7)</f>
        <v>45.5</v>
      </c>
    </row>
    <row r="77" spans="1:14">
      <c r="A77" s="22" t="s">
        <v>121</v>
      </c>
      <c r="B77" s="4">
        <v>44316</v>
      </c>
      <c r="C77" s="4">
        <v>44354</v>
      </c>
      <c r="D77" s="40"/>
      <c r="E77" s="2"/>
      <c r="F77" s="5">
        <v>15.15</v>
      </c>
      <c r="G77" s="5">
        <f>36/30*37</f>
        <v>44.4</v>
      </c>
      <c r="H77" s="5"/>
      <c r="I77" s="5"/>
      <c r="J77" s="6">
        <v>110</v>
      </c>
      <c r="K77" s="6">
        <v>36</v>
      </c>
      <c r="L77" s="5">
        <f>(J77-K77)*0.7</f>
        <v>51.8</v>
      </c>
      <c r="M77" s="1" t="s">
        <v>145</v>
      </c>
    </row>
    <row r="78" spans="1:14">
      <c r="A78" s="22" t="s">
        <v>126</v>
      </c>
      <c r="B78" s="4">
        <v>44336</v>
      </c>
      <c r="C78" s="4">
        <v>44370</v>
      </c>
      <c r="D78" s="5" t="s">
        <v>161</v>
      </c>
      <c r="E78" s="49">
        <v>17.5</v>
      </c>
      <c r="F78" s="5">
        <v>35.78</v>
      </c>
      <c r="G78" s="5">
        <f>58/30*33</f>
        <v>63.8</v>
      </c>
      <c r="H78" s="5">
        <v>50</v>
      </c>
      <c r="I78" s="5"/>
      <c r="J78" s="6">
        <v>150</v>
      </c>
      <c r="K78" s="6">
        <v>58</v>
      </c>
      <c r="L78" s="6">
        <f>(17.5+74.5*0.7)</f>
        <v>69.650000000000006</v>
      </c>
    </row>
    <row r="79" spans="1:14">
      <c r="A79" s="44" t="s">
        <v>125</v>
      </c>
      <c r="B79" s="4">
        <v>44342</v>
      </c>
      <c r="C79" s="4">
        <v>44386</v>
      </c>
      <c r="D79" s="5" t="s">
        <v>160</v>
      </c>
      <c r="E79" s="49">
        <v>12.5</v>
      </c>
      <c r="F79" s="5">
        <v>15.46</v>
      </c>
      <c r="G79" s="5">
        <f>36/30*43</f>
        <v>51.6</v>
      </c>
      <c r="H79" s="5">
        <f>50+45</f>
        <v>95</v>
      </c>
      <c r="I79" s="5"/>
      <c r="J79" s="6">
        <v>110</v>
      </c>
      <c r="K79" s="6">
        <v>36</v>
      </c>
      <c r="L79" s="6">
        <f>(12.5+(97.5-36)*0.7)</f>
        <v>55.55</v>
      </c>
    </row>
    <row r="80" spans="1:14">
      <c r="A80" s="44" t="s">
        <v>129</v>
      </c>
      <c r="B80" s="4">
        <v>44348</v>
      </c>
      <c r="C80" s="4">
        <v>44389</v>
      </c>
      <c r="D80" s="5" t="s">
        <v>160</v>
      </c>
      <c r="E80" s="49">
        <v>12.5</v>
      </c>
      <c r="F80" s="5">
        <v>26.22</v>
      </c>
      <c r="G80" s="5">
        <f>71/30*42</f>
        <v>99.4</v>
      </c>
      <c r="H80" s="5">
        <f>50+45</f>
        <v>95</v>
      </c>
      <c r="I80" s="5"/>
      <c r="J80" s="6">
        <v>140</v>
      </c>
      <c r="K80" s="6">
        <v>71</v>
      </c>
      <c r="L80" s="6">
        <f>(12.5+(127.5-71)*0.7)</f>
        <v>52.05</v>
      </c>
    </row>
    <row r="81" spans="1:12">
      <c r="A81" s="44" t="s">
        <v>124</v>
      </c>
      <c r="B81" s="4">
        <v>44348</v>
      </c>
      <c r="C81" s="4">
        <v>44389</v>
      </c>
      <c r="D81" s="40"/>
      <c r="E81" s="2"/>
      <c r="F81" s="5">
        <v>11.62</v>
      </c>
      <c r="G81" s="5">
        <f>26/30*42</f>
        <v>36.4</v>
      </c>
      <c r="H81" s="5">
        <v>65</v>
      </c>
      <c r="I81" s="5"/>
      <c r="J81" s="6">
        <v>70</v>
      </c>
      <c r="K81" s="6">
        <v>26</v>
      </c>
      <c r="L81" s="6">
        <f>(70-26)*0.7</f>
        <v>30.799999999999997</v>
      </c>
    </row>
    <row r="82" spans="1:12">
      <c r="A82" s="44" t="s">
        <v>132</v>
      </c>
      <c r="B82" s="4">
        <v>44407</v>
      </c>
      <c r="C82" s="4">
        <v>44461</v>
      </c>
      <c r="D82" s="40"/>
      <c r="E82" s="2"/>
      <c r="F82" s="5">
        <v>9.8800000000000008</v>
      </c>
      <c r="G82" s="5">
        <f>25/30*52</f>
        <v>43.333333333333336</v>
      </c>
      <c r="H82" s="5"/>
      <c r="I82" s="5"/>
      <c r="J82" s="6">
        <v>70</v>
      </c>
      <c r="K82" s="6">
        <v>25</v>
      </c>
      <c r="L82" s="6">
        <f>45*0.7</f>
        <v>31.499999999999996</v>
      </c>
    </row>
    <row r="83" spans="1:12">
      <c r="A83" s="44" t="s">
        <v>133</v>
      </c>
      <c r="B83" s="4">
        <v>44432</v>
      </c>
      <c r="C83" s="4">
        <v>44467</v>
      </c>
      <c r="D83" s="40"/>
      <c r="E83" s="2"/>
      <c r="F83" s="5">
        <v>9.8800000000000008</v>
      </c>
      <c r="G83" s="5">
        <f>25/30*34</f>
        <v>28.333333333333336</v>
      </c>
      <c r="H83" s="5"/>
      <c r="I83" s="5"/>
      <c r="J83" s="6">
        <v>70</v>
      </c>
      <c r="K83" s="6">
        <v>25</v>
      </c>
      <c r="L83" s="6">
        <f>45*0.7</f>
        <v>31.499999999999996</v>
      </c>
    </row>
    <row r="84" spans="1:12">
      <c r="A84" s="44" t="s">
        <v>135</v>
      </c>
      <c r="B84" s="35">
        <v>44460</v>
      </c>
      <c r="C84" s="35">
        <v>44475</v>
      </c>
      <c r="D84" s="40"/>
      <c r="E84" s="2"/>
      <c r="F84" s="5">
        <v>19.760000000000002</v>
      </c>
      <c r="G84" s="5">
        <f>43/30*15</f>
        <v>21.5</v>
      </c>
      <c r="H84" s="5">
        <v>65</v>
      </c>
      <c r="I84" s="5"/>
      <c r="J84" s="6">
        <v>90</v>
      </c>
      <c r="K84" s="6">
        <v>43</v>
      </c>
      <c r="L84" s="6">
        <f>(J84-K84)*0.7</f>
        <v>32.9</v>
      </c>
    </row>
    <row r="85" spans="1:12">
      <c r="A85" s="44" t="s">
        <v>141</v>
      </c>
      <c r="B85" s="35">
        <v>44459</v>
      </c>
      <c r="C85" s="35">
        <v>44481</v>
      </c>
      <c r="D85" s="10" t="s">
        <v>161</v>
      </c>
      <c r="E85" s="12">
        <v>10</v>
      </c>
      <c r="F85" s="5">
        <v>15.15</v>
      </c>
      <c r="G85" s="5">
        <f>46/30*22</f>
        <v>33.733333333333334</v>
      </c>
      <c r="H85" s="5">
        <v>80</v>
      </c>
      <c r="I85" s="5"/>
      <c r="J85" s="6">
        <v>120</v>
      </c>
      <c r="K85" s="6">
        <v>46</v>
      </c>
      <c r="L85" s="6">
        <f>10+(120-56)*0.7</f>
        <v>54.8</v>
      </c>
    </row>
    <row r="86" spans="1:12">
      <c r="A86" s="44" t="s">
        <v>140</v>
      </c>
      <c r="B86" s="35">
        <v>44449</v>
      </c>
      <c r="C86" s="35">
        <v>44482</v>
      </c>
      <c r="D86" s="5" t="s">
        <v>160</v>
      </c>
      <c r="E86" s="49">
        <v>10</v>
      </c>
      <c r="F86" s="5">
        <v>13.4</v>
      </c>
      <c r="G86" s="5">
        <f>60/30*33</f>
        <v>66</v>
      </c>
      <c r="H86" s="5">
        <v>80</v>
      </c>
      <c r="I86" s="5"/>
      <c r="J86" s="6">
        <v>120</v>
      </c>
      <c r="K86" s="6">
        <v>61</v>
      </c>
      <c r="L86" s="6">
        <f>(10+49*0.7)</f>
        <v>44.3</v>
      </c>
    </row>
    <row r="87" spans="1:12">
      <c r="A87" s="44" t="s">
        <v>137</v>
      </c>
      <c r="B87" s="35">
        <v>44474</v>
      </c>
      <c r="C87" s="35">
        <v>44487</v>
      </c>
      <c r="D87" s="10" t="s">
        <v>161</v>
      </c>
      <c r="E87" s="12">
        <v>12.5</v>
      </c>
      <c r="F87" s="5">
        <v>15.15</v>
      </c>
      <c r="G87" s="5">
        <f>71/30*13</f>
        <v>30.766666666666666</v>
      </c>
      <c r="H87" s="5">
        <v>95</v>
      </c>
      <c r="I87" s="5"/>
      <c r="J87" s="6">
        <v>140</v>
      </c>
      <c r="K87" s="6">
        <v>71</v>
      </c>
      <c r="L87" s="6">
        <f>12.5+(56.5)*0.7</f>
        <v>52.05</v>
      </c>
    </row>
    <row r="88" spans="1:12">
      <c r="A88" s="44" t="s">
        <v>143</v>
      </c>
      <c r="B88" s="35">
        <v>43717</v>
      </c>
      <c r="C88" s="35">
        <v>44505</v>
      </c>
      <c r="D88" s="40"/>
      <c r="E88" s="49"/>
      <c r="F88" s="5">
        <v>13.4</v>
      </c>
      <c r="G88" s="5">
        <f>36*25+36/30*26</f>
        <v>931.2</v>
      </c>
      <c r="H88" s="5"/>
      <c r="I88" s="5"/>
      <c r="J88" s="6">
        <v>110</v>
      </c>
      <c r="K88" s="6">
        <v>36</v>
      </c>
      <c r="L88" s="6">
        <f>(110-36)*0.7</f>
        <v>51.8</v>
      </c>
    </row>
    <row r="89" spans="1:12">
      <c r="A89" s="44" t="s">
        <v>139</v>
      </c>
      <c r="B89" s="35">
        <v>44492</v>
      </c>
      <c r="C89" s="35">
        <v>44539</v>
      </c>
      <c r="D89" s="40"/>
      <c r="E89" s="49"/>
      <c r="F89" s="5">
        <v>16.350000000000001</v>
      </c>
      <c r="G89" s="5">
        <f>71/30*46</f>
        <v>108.86666666666667</v>
      </c>
      <c r="H89" s="5">
        <v>95</v>
      </c>
      <c r="I89" s="5"/>
      <c r="J89" s="6">
        <v>140</v>
      </c>
      <c r="K89" s="6">
        <v>71</v>
      </c>
      <c r="L89" s="6">
        <f>(140-71)*0.7/30*21</f>
        <v>33.809999999999995</v>
      </c>
    </row>
    <row r="90" spans="1:12">
      <c r="A90" s="44" t="s">
        <v>144</v>
      </c>
      <c r="B90" s="35">
        <v>44526</v>
      </c>
      <c r="C90" s="35">
        <v>44550</v>
      </c>
      <c r="D90" s="5" t="s">
        <v>160</v>
      </c>
      <c r="E90" s="49">
        <v>12.5</v>
      </c>
      <c r="F90" s="5">
        <v>13.4</v>
      </c>
      <c r="G90" s="5">
        <f>83/30*24</f>
        <v>66.400000000000006</v>
      </c>
      <c r="H90" s="5"/>
      <c r="I90" s="5"/>
      <c r="J90" s="6">
        <v>140</v>
      </c>
      <c r="K90" s="6">
        <v>83</v>
      </c>
      <c r="L90" s="6">
        <f>12.5+(140-12.5-83)*0.7/30*10</f>
        <v>22.883333333333333</v>
      </c>
    </row>
    <row r="91" spans="1:12">
      <c r="A91" s="44" t="s">
        <v>149</v>
      </c>
      <c r="B91" s="35">
        <v>44880</v>
      </c>
      <c r="C91" s="35">
        <v>44575</v>
      </c>
      <c r="D91" s="40"/>
      <c r="E91" s="49"/>
      <c r="F91" s="5">
        <v>13.4</v>
      </c>
      <c r="G91" s="5"/>
      <c r="H91" s="5">
        <v>50</v>
      </c>
      <c r="I91" s="5"/>
      <c r="J91" s="6">
        <v>140</v>
      </c>
      <c r="K91" s="6">
        <f>71</f>
        <v>71</v>
      </c>
      <c r="L91" s="6">
        <f>(140-71)*0.7</f>
        <v>48.3</v>
      </c>
    </row>
    <row r="92" spans="1:12">
      <c r="A92" s="44" t="s">
        <v>146</v>
      </c>
      <c r="B92" s="4">
        <v>44586</v>
      </c>
      <c r="C92" s="4">
        <v>44615</v>
      </c>
      <c r="D92" s="10" t="s">
        <v>161</v>
      </c>
      <c r="E92" s="12">
        <v>12.5</v>
      </c>
      <c r="F92" s="5">
        <v>15.46</v>
      </c>
      <c r="G92" s="5">
        <f>27/30*28</f>
        <v>25.2</v>
      </c>
      <c r="H92" s="5">
        <v>110</v>
      </c>
      <c r="I92" s="5"/>
      <c r="J92" s="6">
        <v>124</v>
      </c>
      <c r="K92" s="6">
        <v>51</v>
      </c>
      <c r="L92" s="6">
        <f>12.5+(124-63.5)*0.7</f>
        <v>54.849999999999994</v>
      </c>
    </row>
    <row r="93" spans="1:12">
      <c r="A93" s="44" t="s">
        <v>148</v>
      </c>
      <c r="B93" s="4">
        <v>44579</v>
      </c>
      <c r="C93" s="4">
        <v>44594</v>
      </c>
      <c r="D93" s="40"/>
      <c r="E93" s="49"/>
      <c r="F93" s="5">
        <v>13.4</v>
      </c>
      <c r="G93" s="5">
        <f>22/30*14</f>
        <v>10.266666666666666</v>
      </c>
      <c r="H93" s="5">
        <v>30</v>
      </c>
      <c r="I93" s="5"/>
      <c r="J93" s="6">
        <v>50</v>
      </c>
      <c r="K93" s="6">
        <v>22</v>
      </c>
      <c r="L93" s="6">
        <f>(50-22)*0.7</f>
        <v>19.599999999999998</v>
      </c>
    </row>
    <row r="94" spans="1:12">
      <c r="A94" s="44" t="s">
        <v>150</v>
      </c>
      <c r="B94" s="4">
        <v>44899</v>
      </c>
      <c r="C94" s="4">
        <v>44607</v>
      </c>
      <c r="D94" s="12" t="s">
        <v>160</v>
      </c>
      <c r="E94" s="12">
        <v>12.5</v>
      </c>
      <c r="F94" s="5">
        <v>13.4</v>
      </c>
      <c r="G94" s="5">
        <f>71/30*61</f>
        <v>144.36666666666667</v>
      </c>
      <c r="H94" s="5">
        <v>80</v>
      </c>
      <c r="I94" s="5"/>
      <c r="J94" s="6">
        <v>120</v>
      </c>
      <c r="K94" s="6">
        <v>60</v>
      </c>
      <c r="L94" s="6">
        <f>12.5+(120-72.5)*0.7</f>
        <v>45.75</v>
      </c>
    </row>
    <row r="95" spans="1:12">
      <c r="A95" s="10" t="s">
        <v>151</v>
      </c>
      <c r="B95" s="4">
        <v>44926</v>
      </c>
      <c r="C95" s="4">
        <v>44649</v>
      </c>
      <c r="D95" s="40"/>
      <c r="E95" s="40"/>
      <c r="F95" s="5">
        <v>9.0299999999999994</v>
      </c>
      <c r="G95" s="5">
        <f>25*2+25/30*29</f>
        <v>74.166666666666671</v>
      </c>
      <c r="H95" s="5">
        <v>80</v>
      </c>
      <c r="I95" s="5"/>
      <c r="J95" s="6">
        <v>67.5</v>
      </c>
      <c r="K95" s="6">
        <v>25</v>
      </c>
      <c r="L95" s="6">
        <f>(67.5-25)*0.7/30*1</f>
        <v>0.99166666666666659</v>
      </c>
    </row>
    <row r="96" spans="1:12">
      <c r="A96" s="10" t="s">
        <v>152</v>
      </c>
      <c r="B96" s="4">
        <v>44852</v>
      </c>
      <c r="C96" s="4">
        <v>44649</v>
      </c>
      <c r="D96" s="40"/>
      <c r="E96" s="40"/>
      <c r="F96" s="5">
        <v>9.0299999999999994</v>
      </c>
      <c r="G96" s="5">
        <f>45*4+45/30*13</f>
        <v>199.5</v>
      </c>
      <c r="H96" s="5">
        <v>80</v>
      </c>
      <c r="I96" s="5"/>
      <c r="J96" s="6">
        <v>67.5</v>
      </c>
      <c r="K96" s="6">
        <v>45</v>
      </c>
      <c r="L96" s="6">
        <f>(J96-K96)*0.7/30*1</f>
        <v>0.52499999999999991</v>
      </c>
    </row>
    <row r="97" spans="1:12">
      <c r="A97" s="2" t="s">
        <v>153</v>
      </c>
      <c r="B97" s="4">
        <v>44623</v>
      </c>
      <c r="C97" s="4">
        <v>44623</v>
      </c>
      <c r="D97" s="40"/>
      <c r="E97" s="40"/>
      <c r="F97" s="5">
        <v>11.03</v>
      </c>
      <c r="G97" s="5">
        <v>0</v>
      </c>
      <c r="H97" s="5">
        <v>15</v>
      </c>
      <c r="I97" s="5"/>
      <c r="J97" s="6">
        <v>30</v>
      </c>
      <c r="K97" s="6">
        <v>12</v>
      </c>
      <c r="L97" s="6">
        <f>(J97-K97)*0.7/30*27</f>
        <v>11.34</v>
      </c>
    </row>
    <row r="98" spans="1:12">
      <c r="A98" s="10" t="s">
        <v>154</v>
      </c>
      <c r="B98" s="4">
        <v>44881</v>
      </c>
      <c r="C98" s="4">
        <v>44628</v>
      </c>
      <c r="D98" s="40"/>
      <c r="E98" s="40"/>
      <c r="F98" s="5">
        <v>9.0299999999999994</v>
      </c>
      <c r="G98" s="5">
        <f>65*3+65/30*22</f>
        <v>242.66666666666666</v>
      </c>
      <c r="H98" s="5">
        <v>95</v>
      </c>
      <c r="I98" s="5"/>
      <c r="J98" s="6">
        <v>112</v>
      </c>
      <c r="K98" s="6">
        <v>65</v>
      </c>
      <c r="L98" s="6">
        <f>(J98-K98)*0.7/30*22</f>
        <v>24.126666666666665</v>
      </c>
    </row>
    <row r="99" spans="1:12">
      <c r="A99" s="10" t="s">
        <v>155</v>
      </c>
      <c r="B99" s="4">
        <v>44490</v>
      </c>
      <c r="C99" s="4">
        <v>44648</v>
      </c>
      <c r="D99" s="40"/>
      <c r="E99" s="40"/>
      <c r="F99" s="5">
        <v>13.4</v>
      </c>
      <c r="G99" s="5">
        <f>45*5+45/30*7</f>
        <v>235.5</v>
      </c>
      <c r="H99" s="5">
        <v>80</v>
      </c>
      <c r="I99" s="5"/>
      <c r="J99" s="6">
        <v>67.5</v>
      </c>
      <c r="K99" s="6">
        <v>45</v>
      </c>
      <c r="L99" s="6">
        <f>(J99-K99)*0.7/30*2</f>
        <v>1.0499999999999998</v>
      </c>
    </row>
    <row r="100" spans="1:12">
      <c r="A100" s="38" t="s">
        <v>156</v>
      </c>
      <c r="B100" s="24">
        <v>44489</v>
      </c>
      <c r="C100" s="24">
        <v>44651</v>
      </c>
      <c r="D100" s="48"/>
      <c r="E100" s="48"/>
      <c r="F100" s="25">
        <v>15.46</v>
      </c>
      <c r="G100" s="25">
        <f>50*5+50/10</f>
        <v>255</v>
      </c>
      <c r="H100" s="25">
        <v>145</v>
      </c>
      <c r="I100" s="25"/>
      <c r="J100" s="27">
        <v>125</v>
      </c>
      <c r="K100" s="27">
        <v>50</v>
      </c>
      <c r="L100" s="27">
        <f>(J100-K100)*0.7/30*1</f>
        <v>1.75</v>
      </c>
    </row>
    <row r="101" spans="1:12">
      <c r="A101" s="38" t="s">
        <v>157</v>
      </c>
      <c r="B101" s="24">
        <v>44627</v>
      </c>
      <c r="C101" s="24">
        <v>44627</v>
      </c>
      <c r="D101" s="10" t="s">
        <v>161</v>
      </c>
      <c r="E101" s="12">
        <v>10</v>
      </c>
      <c r="F101" s="25">
        <v>15.46</v>
      </c>
      <c r="G101" s="25">
        <v>0</v>
      </c>
      <c r="H101" s="25">
        <v>0</v>
      </c>
      <c r="I101" s="25"/>
      <c r="J101" s="27">
        <v>100</v>
      </c>
      <c r="K101" s="27">
        <v>44</v>
      </c>
      <c r="L101" s="27">
        <f>10/30*23+(46)*0.7/30*23</f>
        <v>32.353333333333332</v>
      </c>
    </row>
    <row r="102" spans="1:12">
      <c r="A102" s="38" t="s">
        <v>158</v>
      </c>
      <c r="B102" s="4">
        <v>44627</v>
      </c>
      <c r="C102" s="4">
        <v>44627</v>
      </c>
      <c r="D102" s="10" t="s">
        <v>161</v>
      </c>
      <c r="E102" s="12">
        <v>12.5</v>
      </c>
      <c r="F102" s="5">
        <v>15.46</v>
      </c>
      <c r="G102" s="5">
        <v>0</v>
      </c>
      <c r="H102" s="5">
        <v>0</v>
      </c>
      <c r="I102" s="5"/>
      <c r="J102" s="6">
        <v>125</v>
      </c>
      <c r="K102" s="6">
        <v>55</v>
      </c>
      <c r="L102" s="27">
        <f>12.5/30*23+(57.5)*0.7/30*23</f>
        <v>40.441666666666663</v>
      </c>
    </row>
    <row r="103" spans="1:12">
      <c r="A103" s="28"/>
      <c r="B103" s="36"/>
      <c r="C103" s="36"/>
      <c r="D103" s="28"/>
      <c r="E103" s="28"/>
      <c r="F103" s="30"/>
      <c r="G103" s="28"/>
      <c r="H103" s="30"/>
      <c r="K103" s="47" t="s">
        <v>4</v>
      </c>
      <c r="L103" s="8">
        <f>SUM(L2:L102)</f>
        <v>3609.6716666666684</v>
      </c>
    </row>
    <row r="104" spans="1:12">
      <c r="A104" s="28"/>
      <c r="C104" s="15"/>
      <c r="D104" s="1"/>
      <c r="E104" s="1"/>
      <c r="F104" s="1"/>
      <c r="G104" s="1"/>
      <c r="H104" s="1"/>
      <c r="I104" s="1"/>
      <c r="J104" s="1"/>
      <c r="K104" s="29"/>
      <c r="L104" s="29"/>
    </row>
    <row r="106" spans="1:12">
      <c r="F106" s="30"/>
    </row>
    <row r="107" spans="1:12">
      <c r="G107" s="42"/>
    </row>
  </sheetData>
  <autoFilter ref="A1:N1">
    <sortState ref="A2:M104">
      <sortCondition ref="C1"/>
    </sortState>
  </autoFilter>
  <pageMargins left="0.7" right="0.7" top="0.75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>
  <dimension ref="A1:N113"/>
  <sheetViews>
    <sheetView topLeftCell="A97" workbookViewId="0">
      <selection activeCell="F105" sqref="F105:H105"/>
    </sheetView>
  </sheetViews>
  <sheetFormatPr baseColWidth="10" defaultRowHeight="15"/>
  <cols>
    <col min="1" max="1" width="26.5703125" customWidth="1"/>
    <col min="2" max="2" width="22.85546875" customWidth="1"/>
  </cols>
  <sheetData>
    <row r="1" spans="1:13" ht="60">
      <c r="A1" s="2"/>
      <c r="B1" s="3" t="s">
        <v>0</v>
      </c>
      <c r="C1" s="3" t="s">
        <v>1</v>
      </c>
      <c r="D1" s="3" t="s">
        <v>159</v>
      </c>
      <c r="E1" s="3" t="s">
        <v>162</v>
      </c>
      <c r="F1" s="3" t="s">
        <v>3</v>
      </c>
      <c r="G1" s="3" t="s">
        <v>11</v>
      </c>
      <c r="H1" s="3" t="s">
        <v>36</v>
      </c>
      <c r="I1" s="3" t="s">
        <v>12</v>
      </c>
      <c r="J1" s="3" t="s">
        <v>5</v>
      </c>
      <c r="K1" s="3" t="s">
        <v>7</v>
      </c>
      <c r="L1" s="3" t="s">
        <v>8</v>
      </c>
      <c r="M1" s="14" t="s">
        <v>35</v>
      </c>
    </row>
    <row r="2" spans="1:13">
      <c r="A2" s="2" t="s">
        <v>10</v>
      </c>
      <c r="B2" s="4">
        <v>41852</v>
      </c>
      <c r="C2" s="4">
        <v>41852</v>
      </c>
      <c r="D2" s="5"/>
      <c r="E2" s="49"/>
      <c r="F2" s="5">
        <v>10</v>
      </c>
      <c r="G2" s="5"/>
      <c r="H2" s="5"/>
      <c r="I2" s="5">
        <f>D2+F2+H2</f>
        <v>10</v>
      </c>
      <c r="J2" s="6">
        <v>40</v>
      </c>
      <c r="K2" s="6">
        <v>25</v>
      </c>
      <c r="L2" s="6">
        <f t="shared" ref="L2:L57" si="0">(J2-K2)*0.7</f>
        <v>10.5</v>
      </c>
    </row>
    <row r="3" spans="1:13">
      <c r="A3" s="2" t="s">
        <v>9</v>
      </c>
      <c r="B3" s="4">
        <v>41871</v>
      </c>
      <c r="C3" s="4">
        <v>41892</v>
      </c>
      <c r="D3" s="5">
        <v>50</v>
      </c>
      <c r="E3" s="49"/>
      <c r="F3" s="5">
        <v>20</v>
      </c>
      <c r="G3" s="5">
        <f>K3/30*10</f>
        <v>13.666666666666668</v>
      </c>
      <c r="H3" s="5">
        <v>-300</v>
      </c>
      <c r="I3" s="5">
        <f>D3+F3+H3+G3</f>
        <v>-216.33333333333334</v>
      </c>
      <c r="J3" s="6">
        <v>100</v>
      </c>
      <c r="K3" s="6">
        <v>41</v>
      </c>
      <c r="L3" s="6">
        <f t="shared" si="0"/>
        <v>41.3</v>
      </c>
    </row>
    <row r="4" spans="1:13">
      <c r="A4" s="2" t="s">
        <v>17</v>
      </c>
      <c r="B4" s="4"/>
      <c r="C4" s="4">
        <v>42209</v>
      </c>
      <c r="D4" s="5"/>
      <c r="E4" s="49"/>
      <c r="F4" s="5"/>
      <c r="G4" s="5"/>
      <c r="H4" s="5"/>
      <c r="I4" s="5"/>
      <c r="J4" s="6">
        <v>90</v>
      </c>
      <c r="K4" s="6">
        <v>25</v>
      </c>
      <c r="L4" s="6">
        <f t="shared" si="0"/>
        <v>45.5</v>
      </c>
    </row>
    <row r="5" spans="1:13">
      <c r="A5" s="2" t="s">
        <v>15</v>
      </c>
      <c r="B5" s="4">
        <v>42272</v>
      </c>
      <c r="C5" s="4">
        <v>42275</v>
      </c>
      <c r="D5" s="5">
        <v>50</v>
      </c>
      <c r="E5" s="49"/>
      <c r="F5" s="5"/>
      <c r="G5" s="5">
        <f>25/30*3</f>
        <v>2.5</v>
      </c>
      <c r="H5" s="5"/>
      <c r="I5" s="5">
        <f>D5+F5+H5</f>
        <v>50</v>
      </c>
      <c r="J5" s="6">
        <v>40</v>
      </c>
      <c r="K5" s="6">
        <v>25</v>
      </c>
      <c r="L5" s="6">
        <f t="shared" si="0"/>
        <v>10.5</v>
      </c>
    </row>
    <row r="6" spans="1:13">
      <c r="A6" s="2" t="s">
        <v>18</v>
      </c>
      <c r="B6" s="2"/>
      <c r="C6" s="4">
        <v>42335</v>
      </c>
      <c r="D6" s="5"/>
      <c r="E6" s="49"/>
      <c r="F6" s="5"/>
      <c r="G6" s="5"/>
      <c r="H6" s="5"/>
      <c r="I6" s="5"/>
      <c r="J6" s="6">
        <v>90</v>
      </c>
      <c r="K6" s="6">
        <v>25</v>
      </c>
      <c r="L6" s="6">
        <f t="shared" si="0"/>
        <v>45.5</v>
      </c>
    </row>
    <row r="7" spans="1:13">
      <c r="A7" s="2" t="s">
        <v>16</v>
      </c>
      <c r="B7" s="2"/>
      <c r="C7" s="4">
        <v>42396</v>
      </c>
      <c r="D7" s="5"/>
      <c r="E7" s="49"/>
      <c r="F7" s="5"/>
      <c r="G7" s="5"/>
      <c r="H7" s="5"/>
      <c r="I7" s="5"/>
      <c r="J7" s="6">
        <v>90</v>
      </c>
      <c r="K7" s="6">
        <v>25</v>
      </c>
      <c r="L7" s="6">
        <f t="shared" si="0"/>
        <v>45.5</v>
      </c>
    </row>
    <row r="8" spans="1:13">
      <c r="A8" s="2" t="s">
        <v>22</v>
      </c>
      <c r="B8" s="4">
        <v>42546</v>
      </c>
      <c r="C8" s="4">
        <v>42571</v>
      </c>
      <c r="D8" s="5"/>
      <c r="E8" s="49"/>
      <c r="F8" s="5">
        <f>6.9+8.5</f>
        <v>15.4</v>
      </c>
      <c r="G8" s="5">
        <f>25*25/30</f>
        <v>20.833333333333332</v>
      </c>
      <c r="H8" s="5"/>
      <c r="I8" s="5"/>
      <c r="J8" s="6">
        <v>120</v>
      </c>
      <c r="K8" s="6">
        <v>25</v>
      </c>
      <c r="L8" s="6">
        <f t="shared" si="0"/>
        <v>66.5</v>
      </c>
    </row>
    <row r="9" spans="1:13">
      <c r="A9" s="2" t="s">
        <v>23</v>
      </c>
      <c r="B9" s="4">
        <v>42560</v>
      </c>
      <c r="C9" s="4">
        <v>42571</v>
      </c>
      <c r="D9" s="5"/>
      <c r="E9" s="49"/>
      <c r="F9" s="5">
        <v>8.5</v>
      </c>
      <c r="G9" s="5">
        <f>25*41/30</f>
        <v>34.166666666666664</v>
      </c>
      <c r="H9" s="5"/>
      <c r="I9" s="5"/>
      <c r="J9" s="6">
        <v>107.5</v>
      </c>
      <c r="K9" s="6">
        <v>25</v>
      </c>
      <c r="L9" s="6">
        <f t="shared" si="0"/>
        <v>57.749999999999993</v>
      </c>
    </row>
    <row r="10" spans="1:13">
      <c r="A10" s="2" t="s">
        <v>24</v>
      </c>
      <c r="B10" s="4">
        <v>42530</v>
      </c>
      <c r="C10" s="4">
        <v>42579</v>
      </c>
      <c r="D10" s="5"/>
      <c r="E10" s="49"/>
      <c r="F10" s="5">
        <f>8.5+6.9</f>
        <v>15.4</v>
      </c>
      <c r="G10" s="5">
        <f>25*52/30</f>
        <v>43.333333333333336</v>
      </c>
      <c r="H10" s="5"/>
      <c r="I10" s="5"/>
      <c r="J10" s="6">
        <v>90</v>
      </c>
      <c r="K10" s="6">
        <v>25</v>
      </c>
      <c r="L10" s="6">
        <f t="shared" si="0"/>
        <v>45.5</v>
      </c>
    </row>
    <row r="11" spans="1:13">
      <c r="A11" s="2" t="s">
        <v>26</v>
      </c>
      <c r="B11" s="4">
        <v>42633</v>
      </c>
      <c r="C11" s="4">
        <v>42644</v>
      </c>
      <c r="D11" s="5"/>
      <c r="E11" s="49"/>
      <c r="F11" s="5">
        <v>8.17</v>
      </c>
      <c r="G11" s="5">
        <f>25/30*10</f>
        <v>8.3333333333333339</v>
      </c>
      <c r="H11" s="5"/>
      <c r="I11" s="5"/>
      <c r="J11" s="6">
        <v>70</v>
      </c>
      <c r="K11" s="6">
        <v>25</v>
      </c>
      <c r="L11" s="6">
        <f t="shared" si="0"/>
        <v>31.499999999999996</v>
      </c>
    </row>
    <row r="12" spans="1:13">
      <c r="A12" s="2" t="s">
        <v>27</v>
      </c>
      <c r="B12" s="4">
        <v>42656</v>
      </c>
      <c r="C12" s="4">
        <v>42705</v>
      </c>
      <c r="D12" s="5"/>
      <c r="E12" s="49"/>
      <c r="F12" s="5">
        <v>8.17</v>
      </c>
      <c r="G12" s="5">
        <f>K12/30*47</f>
        <v>39.166666666666671</v>
      </c>
      <c r="H12" s="5"/>
      <c r="I12" s="5"/>
      <c r="J12" s="6">
        <v>40</v>
      </c>
      <c r="K12" s="6">
        <v>25</v>
      </c>
      <c r="L12" s="6">
        <f t="shared" si="0"/>
        <v>10.5</v>
      </c>
    </row>
    <row r="13" spans="1:13">
      <c r="A13" s="2" t="s">
        <v>29</v>
      </c>
      <c r="B13" s="4">
        <v>42683</v>
      </c>
      <c r="C13" s="4">
        <v>42718</v>
      </c>
      <c r="D13" s="5"/>
      <c r="E13" s="49"/>
      <c r="F13" s="5">
        <v>8.9700000000000006</v>
      </c>
      <c r="G13" s="5">
        <f>K13/30*35</f>
        <v>42</v>
      </c>
      <c r="H13" s="5"/>
      <c r="I13" s="5"/>
      <c r="J13" s="6">
        <f>105</f>
        <v>105</v>
      </c>
      <c r="K13" s="6">
        <v>36</v>
      </c>
      <c r="L13" s="6">
        <f t="shared" si="0"/>
        <v>48.3</v>
      </c>
    </row>
    <row r="14" spans="1:13">
      <c r="A14" s="2" t="s">
        <v>28</v>
      </c>
      <c r="B14" s="4">
        <v>42711</v>
      </c>
      <c r="C14" s="4">
        <v>42734</v>
      </c>
      <c r="D14" s="5"/>
      <c r="E14" s="49"/>
      <c r="F14" s="5">
        <v>8.17</v>
      </c>
      <c r="G14" s="5">
        <f>K14/30*23</f>
        <v>19.166666666666668</v>
      </c>
      <c r="H14" s="5"/>
      <c r="I14" s="5"/>
      <c r="J14" s="6">
        <v>40</v>
      </c>
      <c r="K14" s="6">
        <v>25</v>
      </c>
      <c r="L14" s="6">
        <f t="shared" si="0"/>
        <v>10.5</v>
      </c>
    </row>
    <row r="15" spans="1:13">
      <c r="A15" s="2" t="s">
        <v>30</v>
      </c>
      <c r="B15" s="4">
        <v>42732</v>
      </c>
      <c r="C15" s="4">
        <v>42759</v>
      </c>
      <c r="D15" s="5"/>
      <c r="E15" s="49"/>
      <c r="F15" s="5">
        <v>18.8</v>
      </c>
      <c r="G15" s="5">
        <f>K15/30*27</f>
        <v>23.400000000000002</v>
      </c>
      <c r="H15" s="5"/>
      <c r="I15" s="5"/>
      <c r="J15" s="6">
        <v>90</v>
      </c>
      <c r="K15" s="6">
        <v>26</v>
      </c>
      <c r="L15" s="6">
        <f t="shared" si="0"/>
        <v>44.8</v>
      </c>
    </row>
    <row r="16" spans="1:13">
      <c r="A16" s="2" t="s">
        <v>31</v>
      </c>
      <c r="B16" s="4">
        <v>42735</v>
      </c>
      <c r="C16" s="4">
        <v>42782</v>
      </c>
      <c r="D16" s="5">
        <v>50</v>
      </c>
      <c r="E16" s="49"/>
      <c r="F16" s="5">
        <v>20.63</v>
      </c>
      <c r="G16" s="5">
        <f>K16/30*46</f>
        <v>42.933333333333337</v>
      </c>
      <c r="H16" s="5"/>
      <c r="I16" s="5"/>
      <c r="J16" s="6">
        <v>92</v>
      </c>
      <c r="K16" s="6">
        <v>28</v>
      </c>
      <c r="L16" s="6">
        <f t="shared" si="0"/>
        <v>44.8</v>
      </c>
    </row>
    <row r="17" spans="1:13">
      <c r="A17" s="2" t="s">
        <v>32</v>
      </c>
      <c r="B17" s="4">
        <v>42857</v>
      </c>
      <c r="C17" s="4">
        <v>42866</v>
      </c>
      <c r="D17" s="5"/>
      <c r="E17" s="49"/>
      <c r="F17" s="5"/>
      <c r="G17" s="5">
        <f>23/30*9</f>
        <v>6.9</v>
      </c>
      <c r="H17" s="5">
        <f>60*0.7</f>
        <v>42</v>
      </c>
      <c r="I17" s="5"/>
      <c r="J17" s="6">
        <v>60</v>
      </c>
      <c r="K17" s="6">
        <v>23</v>
      </c>
      <c r="L17" s="6">
        <f t="shared" si="0"/>
        <v>25.9</v>
      </c>
    </row>
    <row r="18" spans="1:13">
      <c r="A18" s="2" t="s">
        <v>37</v>
      </c>
      <c r="B18" s="4">
        <v>42891</v>
      </c>
      <c r="C18" s="4">
        <v>42915</v>
      </c>
      <c r="D18" s="5"/>
      <c r="E18" s="49"/>
      <c r="F18" s="5">
        <v>6.83</v>
      </c>
      <c r="G18" s="5">
        <f>24/30*24</f>
        <v>19.200000000000003</v>
      </c>
      <c r="H18" s="5"/>
      <c r="I18" s="5"/>
      <c r="J18" s="6">
        <v>70</v>
      </c>
      <c r="K18" s="6">
        <v>24</v>
      </c>
      <c r="L18" s="6">
        <f t="shared" si="0"/>
        <v>32.199999999999996</v>
      </c>
    </row>
    <row r="19" spans="1:13">
      <c r="A19" s="2" t="s">
        <v>39</v>
      </c>
      <c r="B19" s="4">
        <v>43081</v>
      </c>
      <c r="C19" s="4">
        <v>43109</v>
      </c>
      <c r="D19" s="5"/>
      <c r="E19" s="49"/>
      <c r="F19" s="5">
        <v>9.83</v>
      </c>
      <c r="G19" s="5">
        <f>36/30*28</f>
        <v>33.6</v>
      </c>
      <c r="H19" s="5"/>
      <c r="I19" s="5"/>
      <c r="J19" s="6">
        <v>120</v>
      </c>
      <c r="K19" s="6">
        <v>36</v>
      </c>
      <c r="L19" s="6">
        <f t="shared" si="0"/>
        <v>58.8</v>
      </c>
    </row>
    <row r="20" spans="1:13">
      <c r="A20" s="22" t="s">
        <v>56</v>
      </c>
      <c r="B20" s="4">
        <v>43361</v>
      </c>
      <c r="C20" s="4">
        <v>43132</v>
      </c>
      <c r="D20" s="5"/>
      <c r="E20" s="49"/>
      <c r="F20" s="5">
        <v>14.11</v>
      </c>
      <c r="G20" s="5">
        <f>25*4+25/30*12</f>
        <v>110</v>
      </c>
      <c r="H20" s="5"/>
      <c r="I20" s="5"/>
      <c r="J20" s="6">
        <v>75</v>
      </c>
      <c r="K20" s="6">
        <v>25</v>
      </c>
      <c r="L20" s="6">
        <f t="shared" si="0"/>
        <v>35</v>
      </c>
    </row>
    <row r="21" spans="1:13">
      <c r="A21" s="2" t="s">
        <v>40</v>
      </c>
      <c r="B21" s="4">
        <v>43106</v>
      </c>
      <c r="C21" s="4">
        <v>43146</v>
      </c>
      <c r="D21" s="5"/>
      <c r="E21" s="49"/>
      <c r="F21" s="5">
        <v>8.2899999999999991</v>
      </c>
      <c r="G21" s="5">
        <f>25/30*39</f>
        <v>32.5</v>
      </c>
      <c r="H21" s="5"/>
      <c r="I21" s="5"/>
      <c r="J21" s="6">
        <v>70</v>
      </c>
      <c r="K21" s="6">
        <v>26</v>
      </c>
      <c r="L21" s="6">
        <f t="shared" si="0"/>
        <v>30.799999999999997</v>
      </c>
    </row>
    <row r="22" spans="1:13">
      <c r="A22" s="2" t="s">
        <v>42</v>
      </c>
      <c r="B22" s="4">
        <v>43162</v>
      </c>
      <c r="C22" s="4">
        <v>43189</v>
      </c>
      <c r="D22" s="5"/>
      <c r="E22" s="49"/>
      <c r="F22" s="5">
        <v>9.92</v>
      </c>
      <c r="G22" s="5">
        <f>25/30*27</f>
        <v>22.5</v>
      </c>
      <c r="H22" s="5"/>
      <c r="I22" s="5"/>
      <c r="J22" s="6">
        <v>80</v>
      </c>
      <c r="K22" s="6">
        <v>26</v>
      </c>
      <c r="L22" s="6">
        <f t="shared" si="0"/>
        <v>37.799999999999997</v>
      </c>
    </row>
    <row r="23" spans="1:13">
      <c r="A23" s="9" t="s">
        <v>44</v>
      </c>
      <c r="B23" s="4">
        <v>43196</v>
      </c>
      <c r="C23" s="4">
        <v>43250</v>
      </c>
      <c r="D23" s="5"/>
      <c r="E23" s="49"/>
      <c r="F23" s="5">
        <v>13.78</v>
      </c>
      <c r="G23" s="5">
        <f>25*24/30+25</f>
        <v>45</v>
      </c>
      <c r="H23" s="5"/>
      <c r="I23" s="5"/>
      <c r="J23" s="6">
        <f>60</f>
        <v>60</v>
      </c>
      <c r="K23" s="6">
        <v>25</v>
      </c>
      <c r="L23" s="6">
        <f t="shared" si="0"/>
        <v>24.5</v>
      </c>
    </row>
    <row r="24" spans="1:13">
      <c r="A24" s="22" t="s">
        <v>47</v>
      </c>
      <c r="B24" s="4">
        <v>43355</v>
      </c>
      <c r="C24" s="4">
        <v>43277</v>
      </c>
      <c r="D24" s="5"/>
      <c r="E24" s="49"/>
      <c r="F24" s="5">
        <v>19.98</v>
      </c>
      <c r="G24" s="5">
        <f>36*2+36/30*16</f>
        <v>91.2</v>
      </c>
      <c r="H24" s="5"/>
      <c r="I24" s="5"/>
      <c r="J24" s="6">
        <v>105</v>
      </c>
      <c r="K24" s="6">
        <v>36</v>
      </c>
      <c r="L24" s="6">
        <f t="shared" si="0"/>
        <v>48.3</v>
      </c>
    </row>
    <row r="25" spans="1:13">
      <c r="A25" s="22" t="s">
        <v>48</v>
      </c>
      <c r="B25" s="4">
        <v>43367</v>
      </c>
      <c r="C25" s="4">
        <v>43284</v>
      </c>
      <c r="D25" s="5"/>
      <c r="E25" s="49"/>
      <c r="F25" s="5">
        <v>9.1</v>
      </c>
      <c r="G25" s="5">
        <f>25+25/30*27</f>
        <v>47.5</v>
      </c>
      <c r="H25" s="5"/>
      <c r="I25" s="5"/>
      <c r="J25" s="6">
        <v>75</v>
      </c>
      <c r="K25" s="6">
        <v>25</v>
      </c>
      <c r="L25" s="6">
        <f t="shared" si="0"/>
        <v>35</v>
      </c>
    </row>
    <row r="26" spans="1:13">
      <c r="A26" s="2" t="s">
        <v>45</v>
      </c>
      <c r="B26" s="4"/>
      <c r="C26" s="4">
        <v>43286</v>
      </c>
      <c r="D26" s="5"/>
      <c r="E26" s="49"/>
      <c r="F26" s="5">
        <v>11.56</v>
      </c>
      <c r="G26" s="5"/>
      <c r="H26" s="5"/>
      <c r="I26" s="5"/>
      <c r="J26" s="6">
        <v>150</v>
      </c>
      <c r="K26" s="6">
        <v>76</v>
      </c>
      <c r="L26" s="6">
        <f t="shared" si="0"/>
        <v>51.8</v>
      </c>
      <c r="M26" s="20"/>
    </row>
    <row r="27" spans="1:13">
      <c r="A27" s="22" t="s">
        <v>49</v>
      </c>
      <c r="B27" s="4">
        <v>43367</v>
      </c>
      <c r="C27" s="4">
        <v>43291</v>
      </c>
      <c r="D27" s="5"/>
      <c r="E27" s="49"/>
      <c r="F27" s="5">
        <v>10.039999999999999</v>
      </c>
      <c r="G27" s="5">
        <f>50+25/30*14</f>
        <v>61.666666666666671</v>
      </c>
      <c r="H27" s="5"/>
      <c r="I27" s="5"/>
      <c r="J27" s="6">
        <v>70</v>
      </c>
      <c r="K27" s="6">
        <v>25</v>
      </c>
      <c r="L27" s="6">
        <f t="shared" si="0"/>
        <v>31.499999999999996</v>
      </c>
    </row>
    <row r="28" spans="1:13">
      <c r="A28" s="22" t="s">
        <v>51</v>
      </c>
      <c r="B28" s="4">
        <v>43358</v>
      </c>
      <c r="C28" s="4">
        <v>43291</v>
      </c>
      <c r="D28" s="5"/>
      <c r="E28" s="49"/>
      <c r="F28" s="5">
        <v>10.039999999999999</v>
      </c>
      <c r="G28" s="5">
        <f>50+25/30*5</f>
        <v>54.166666666666664</v>
      </c>
      <c r="H28" s="5"/>
      <c r="I28" s="5"/>
      <c r="J28" s="6">
        <v>75</v>
      </c>
      <c r="K28" s="6">
        <v>25</v>
      </c>
      <c r="L28" s="6">
        <f t="shared" si="0"/>
        <v>35</v>
      </c>
    </row>
    <row r="29" spans="1:13">
      <c r="A29" s="22" t="s">
        <v>52</v>
      </c>
      <c r="B29" s="4">
        <v>43367</v>
      </c>
      <c r="C29" s="4">
        <v>43308</v>
      </c>
      <c r="D29" s="5"/>
      <c r="E29" s="49"/>
      <c r="F29" s="5">
        <v>10.86</v>
      </c>
      <c r="G29" s="5">
        <f>25+25/30*27</f>
        <v>47.5</v>
      </c>
      <c r="H29" s="5"/>
      <c r="I29" s="5"/>
      <c r="J29" s="6">
        <v>75</v>
      </c>
      <c r="K29" s="18">
        <v>25</v>
      </c>
      <c r="L29" s="18">
        <f t="shared" si="0"/>
        <v>35</v>
      </c>
    </row>
    <row r="30" spans="1:13">
      <c r="A30" s="22" t="s">
        <v>50</v>
      </c>
      <c r="B30" s="4">
        <v>43367</v>
      </c>
      <c r="C30" s="4">
        <v>43312</v>
      </c>
      <c r="D30" s="5"/>
      <c r="E30" s="49"/>
      <c r="F30" s="5">
        <v>10.86</v>
      </c>
      <c r="G30" s="5">
        <f>25+25/30*24</f>
        <v>45</v>
      </c>
      <c r="H30" s="5"/>
      <c r="I30" s="5"/>
      <c r="J30" s="6">
        <v>70</v>
      </c>
      <c r="K30" s="18">
        <v>25</v>
      </c>
      <c r="L30" s="18">
        <f t="shared" si="0"/>
        <v>31.499999999999996</v>
      </c>
    </row>
    <row r="31" spans="1:13">
      <c r="A31" s="22" t="s">
        <v>55</v>
      </c>
      <c r="B31" s="4">
        <v>43363</v>
      </c>
      <c r="C31" s="4">
        <v>43440</v>
      </c>
      <c r="D31" s="5"/>
      <c r="E31" s="49"/>
      <c r="F31" s="5">
        <v>14.11</v>
      </c>
      <c r="G31" s="5">
        <f>25*2+25*16/30</f>
        <v>63.333333333333336</v>
      </c>
      <c r="H31" s="5"/>
      <c r="I31" s="5"/>
      <c r="J31" s="6">
        <v>75</v>
      </c>
      <c r="K31" s="18">
        <v>25</v>
      </c>
      <c r="L31" s="18">
        <f t="shared" si="0"/>
        <v>35</v>
      </c>
    </row>
    <row r="32" spans="1:13">
      <c r="A32" s="22" t="s">
        <v>54</v>
      </c>
      <c r="B32" s="4">
        <v>43167</v>
      </c>
      <c r="C32" s="4">
        <v>43455</v>
      </c>
      <c r="D32" s="5"/>
      <c r="E32" s="49"/>
      <c r="F32" s="5">
        <v>10.86</v>
      </c>
      <c r="G32" s="5">
        <f>9*25+25*13/30</f>
        <v>235.83333333333334</v>
      </c>
      <c r="H32" s="5"/>
      <c r="I32" s="5"/>
      <c r="J32" s="6">
        <v>90</v>
      </c>
      <c r="K32" s="18">
        <v>36</v>
      </c>
      <c r="L32" s="18">
        <f t="shared" si="0"/>
        <v>37.799999999999997</v>
      </c>
    </row>
    <row r="33" spans="1:13">
      <c r="A33" s="22" t="s">
        <v>57</v>
      </c>
      <c r="B33" s="4">
        <v>43478</v>
      </c>
      <c r="C33" s="4">
        <v>43536</v>
      </c>
      <c r="D33" s="5"/>
      <c r="E33" s="49"/>
      <c r="F33" s="5">
        <v>10.86</v>
      </c>
      <c r="G33" s="5">
        <v>25</v>
      </c>
      <c r="H33" s="5"/>
      <c r="I33" s="5"/>
      <c r="J33" s="6">
        <v>70</v>
      </c>
      <c r="K33" s="6">
        <v>25</v>
      </c>
      <c r="L33" s="6">
        <f t="shared" si="0"/>
        <v>31.499999999999996</v>
      </c>
    </row>
    <row r="34" spans="1:13">
      <c r="A34" s="22" t="s">
        <v>59</v>
      </c>
      <c r="B34" s="4">
        <v>43528</v>
      </c>
      <c r="C34" s="4">
        <v>43538</v>
      </c>
      <c r="D34" s="5"/>
      <c r="E34" s="49"/>
      <c r="F34" s="5">
        <v>14.92</v>
      </c>
      <c r="G34" s="5">
        <f>77/30*10</f>
        <v>25.666666666666668</v>
      </c>
      <c r="H34" s="5"/>
      <c r="I34" s="5"/>
      <c r="J34" s="6">
        <v>169</v>
      </c>
      <c r="K34" s="6">
        <f>64+11+2</f>
        <v>77</v>
      </c>
      <c r="L34" s="6">
        <f t="shared" si="0"/>
        <v>64.399999999999991</v>
      </c>
    </row>
    <row r="35" spans="1:13">
      <c r="A35" s="22" t="s">
        <v>58</v>
      </c>
      <c r="B35" s="4">
        <v>43534</v>
      </c>
      <c r="C35" s="4">
        <v>43542</v>
      </c>
      <c r="D35" s="5"/>
      <c r="E35" s="49"/>
      <c r="F35" s="5">
        <f>10.86*2</f>
        <v>21.72</v>
      </c>
      <c r="G35" s="5">
        <v>0</v>
      </c>
      <c r="H35" s="5"/>
      <c r="I35" s="5"/>
      <c r="J35" s="6">
        <v>120</v>
      </c>
      <c r="K35" s="6">
        <f>60+11</f>
        <v>71</v>
      </c>
      <c r="L35" s="6">
        <f t="shared" si="0"/>
        <v>34.299999999999997</v>
      </c>
    </row>
    <row r="36" spans="1:13">
      <c r="A36" s="22" t="s">
        <v>61</v>
      </c>
      <c r="B36" s="4">
        <v>43482</v>
      </c>
      <c r="C36" s="4">
        <v>43542</v>
      </c>
      <c r="D36" s="5"/>
      <c r="E36" s="49"/>
      <c r="F36" s="5">
        <v>11.1</v>
      </c>
      <c r="G36" s="5">
        <f>25*2</f>
        <v>50</v>
      </c>
      <c r="H36" s="5"/>
      <c r="I36" s="5"/>
      <c r="J36" s="6">
        <v>70</v>
      </c>
      <c r="K36" s="6">
        <v>26</v>
      </c>
      <c r="L36" s="6">
        <f t="shared" si="0"/>
        <v>30.799999999999997</v>
      </c>
    </row>
    <row r="37" spans="1:13">
      <c r="A37" s="22" t="s">
        <v>63</v>
      </c>
      <c r="B37" s="4">
        <v>43593</v>
      </c>
      <c r="C37" s="4">
        <v>43605</v>
      </c>
      <c r="D37" s="5"/>
      <c r="E37" s="49"/>
      <c r="F37" s="5">
        <f>10.86*2+20</f>
        <v>41.72</v>
      </c>
      <c r="G37" s="5">
        <f>18/30*12</f>
        <v>7.1999999999999993</v>
      </c>
      <c r="H37" s="5"/>
      <c r="I37" s="5"/>
      <c r="J37" s="6">
        <v>100</v>
      </c>
      <c r="K37" s="6">
        <f>11+7</f>
        <v>18</v>
      </c>
      <c r="L37" s="6">
        <f t="shared" si="0"/>
        <v>57.4</v>
      </c>
    </row>
    <row r="38" spans="1:13">
      <c r="A38" s="22" t="s">
        <v>67</v>
      </c>
      <c r="B38" s="4">
        <v>43600</v>
      </c>
      <c r="C38" s="4">
        <v>43629</v>
      </c>
      <c r="D38" s="5"/>
      <c r="E38" s="49"/>
      <c r="F38" s="5">
        <f>10.86*2</f>
        <v>21.72</v>
      </c>
      <c r="G38" s="5">
        <f>22/30*58</f>
        <v>42.533333333333331</v>
      </c>
      <c r="H38" s="5">
        <v>50</v>
      </c>
      <c r="I38" s="5">
        <f>F38+G38+H38</f>
        <v>114.25333333333333</v>
      </c>
      <c r="J38" s="6">
        <v>60</v>
      </c>
      <c r="K38" s="6">
        <v>25</v>
      </c>
      <c r="L38" s="6">
        <v>0</v>
      </c>
    </row>
    <row r="39" spans="1:13">
      <c r="A39" s="22" t="s">
        <v>66</v>
      </c>
      <c r="B39" s="4">
        <v>43600</v>
      </c>
      <c r="C39" s="4">
        <v>43629</v>
      </c>
      <c r="D39" s="5"/>
      <c r="E39" s="49"/>
      <c r="F39" s="5">
        <f>10.86</f>
        <v>10.86</v>
      </c>
      <c r="G39" s="5">
        <f>39/30*58</f>
        <v>75.400000000000006</v>
      </c>
      <c r="H39" s="5"/>
      <c r="I39" s="5">
        <f>F39+G39</f>
        <v>86.26</v>
      </c>
      <c r="J39" s="6">
        <v>110</v>
      </c>
      <c r="K39" s="6">
        <f>25+11+3</f>
        <v>39</v>
      </c>
      <c r="L39" s="6">
        <v>0</v>
      </c>
      <c r="M39" t="s">
        <v>73</v>
      </c>
    </row>
    <row r="40" spans="1:13">
      <c r="A40" s="22" t="s">
        <v>64</v>
      </c>
      <c r="B40" s="4">
        <v>43627</v>
      </c>
      <c r="C40" s="4">
        <v>43629</v>
      </c>
      <c r="D40" s="5"/>
      <c r="E40" s="49"/>
      <c r="F40" s="5">
        <v>10.86</v>
      </c>
      <c r="G40" s="5">
        <f>25/30*2</f>
        <v>1.6666666666666667</v>
      </c>
      <c r="H40" s="5"/>
      <c r="I40" s="5">
        <f>F40+G40</f>
        <v>12.526666666666666</v>
      </c>
      <c r="J40" s="6">
        <v>90</v>
      </c>
      <c r="K40" s="6">
        <v>25</v>
      </c>
      <c r="L40" s="6">
        <f t="shared" si="0"/>
        <v>45.5</v>
      </c>
    </row>
    <row r="41" spans="1:13">
      <c r="A41" s="22" t="s">
        <v>65</v>
      </c>
      <c r="B41" s="4">
        <v>43622</v>
      </c>
      <c r="C41" s="4">
        <v>43650</v>
      </c>
      <c r="D41" s="5"/>
      <c r="E41" s="49"/>
      <c r="F41" s="5">
        <v>10.86</v>
      </c>
      <c r="G41" s="5"/>
      <c r="H41" s="5"/>
      <c r="I41" s="5"/>
      <c r="J41" s="6">
        <v>120</v>
      </c>
      <c r="K41" s="6">
        <v>60</v>
      </c>
      <c r="L41" s="6">
        <f t="shared" si="0"/>
        <v>42</v>
      </c>
    </row>
    <row r="42" spans="1:13">
      <c r="A42" s="22" t="s">
        <v>71</v>
      </c>
      <c r="B42" s="4">
        <v>43635</v>
      </c>
      <c r="C42" s="4">
        <v>43662</v>
      </c>
      <c r="D42" s="5"/>
      <c r="E42" s="49"/>
      <c r="F42" s="5">
        <f>10.86*2</f>
        <v>21.72</v>
      </c>
      <c r="G42" s="5"/>
      <c r="H42" s="5"/>
      <c r="I42" s="5"/>
      <c r="J42" s="6">
        <v>70</v>
      </c>
      <c r="K42" s="6">
        <v>26</v>
      </c>
      <c r="L42" s="6">
        <f t="shared" si="0"/>
        <v>30.799999999999997</v>
      </c>
      <c r="M42" t="s">
        <v>72</v>
      </c>
    </row>
    <row r="43" spans="1:13">
      <c r="A43" s="22" t="s">
        <v>77</v>
      </c>
      <c r="B43" s="4">
        <v>43682</v>
      </c>
      <c r="C43" s="4">
        <v>43682</v>
      </c>
      <c r="D43" s="5"/>
      <c r="E43" s="49"/>
      <c r="F43" s="5"/>
      <c r="G43" s="5"/>
      <c r="H43" s="5"/>
      <c r="I43" s="5"/>
      <c r="J43" s="6">
        <v>10</v>
      </c>
      <c r="K43" s="6">
        <v>1</v>
      </c>
      <c r="L43" s="6">
        <f t="shared" si="0"/>
        <v>6.3</v>
      </c>
    </row>
    <row r="44" spans="1:13">
      <c r="A44" s="2" t="s">
        <v>74</v>
      </c>
      <c r="B44" s="4">
        <v>43661</v>
      </c>
      <c r="C44" s="4">
        <v>43711</v>
      </c>
      <c r="D44" s="5"/>
      <c r="E44" s="49"/>
      <c r="F44" s="5">
        <v>10.86</v>
      </c>
      <c r="G44" s="5">
        <f>36/30*48</f>
        <v>57.599999999999994</v>
      </c>
      <c r="H44" s="5"/>
      <c r="I44" s="5"/>
      <c r="J44" s="6">
        <v>105</v>
      </c>
      <c r="K44" s="6">
        <v>36</v>
      </c>
      <c r="L44" s="6">
        <f t="shared" si="0"/>
        <v>48.3</v>
      </c>
    </row>
    <row r="45" spans="1:13">
      <c r="A45" s="2" t="s">
        <v>75</v>
      </c>
      <c r="B45" s="4">
        <v>43656</v>
      </c>
      <c r="C45" s="4">
        <v>43711</v>
      </c>
      <c r="D45" s="5"/>
      <c r="E45" s="49"/>
      <c r="F45" s="5">
        <v>10.86</v>
      </c>
      <c r="G45" s="5">
        <f>36/30*48</f>
        <v>57.599999999999994</v>
      </c>
      <c r="H45" s="5"/>
      <c r="I45" s="5"/>
      <c r="J45" s="6">
        <v>105</v>
      </c>
      <c r="K45" s="6">
        <v>36</v>
      </c>
      <c r="L45" s="18">
        <f t="shared" si="0"/>
        <v>48.3</v>
      </c>
    </row>
    <row r="46" spans="1:13">
      <c r="A46" s="2" t="s">
        <v>76</v>
      </c>
      <c r="B46" s="4">
        <v>43677</v>
      </c>
      <c r="C46" s="4">
        <v>43713</v>
      </c>
      <c r="D46" s="5"/>
      <c r="E46" s="49"/>
      <c r="F46" s="5">
        <v>24.06</v>
      </c>
      <c r="G46" s="5">
        <f>80/30*35</f>
        <v>93.333333333333329</v>
      </c>
      <c r="H46" s="5">
        <v>40</v>
      </c>
      <c r="I46" s="5"/>
      <c r="J46" s="6">
        <v>149</v>
      </c>
      <c r="K46" s="6">
        <v>80</v>
      </c>
      <c r="L46" s="6">
        <f t="shared" si="0"/>
        <v>48.3</v>
      </c>
      <c r="M46" t="s">
        <v>79</v>
      </c>
    </row>
    <row r="47" spans="1:13">
      <c r="A47" s="22" t="s">
        <v>78</v>
      </c>
      <c r="B47" s="4">
        <v>43747</v>
      </c>
      <c r="C47" s="4">
        <v>43789</v>
      </c>
      <c r="D47" s="5"/>
      <c r="E47" s="49"/>
      <c r="F47" s="5">
        <f>9.51+9.44</f>
        <v>18.95</v>
      </c>
      <c r="G47" s="5">
        <f>52/30*41</f>
        <v>71.066666666666663</v>
      </c>
      <c r="H47" s="5"/>
      <c r="I47" s="5"/>
      <c r="J47" s="17">
        <v>99</v>
      </c>
      <c r="K47" s="18">
        <f>52</f>
        <v>52</v>
      </c>
      <c r="L47" s="6">
        <f t="shared" si="0"/>
        <v>32.9</v>
      </c>
    </row>
    <row r="48" spans="1:13">
      <c r="A48" s="2" t="s">
        <v>81</v>
      </c>
      <c r="B48" s="4">
        <v>43788</v>
      </c>
      <c r="C48" s="4">
        <v>43865</v>
      </c>
      <c r="D48" s="5"/>
      <c r="E48" s="49"/>
      <c r="F48" s="5">
        <v>9.14</v>
      </c>
      <c r="G48" s="5">
        <f>25/30*45</f>
        <v>37.5</v>
      </c>
      <c r="H48" s="5"/>
      <c r="I48" s="5"/>
      <c r="J48" s="6">
        <v>90</v>
      </c>
      <c r="K48" s="6">
        <v>25</v>
      </c>
      <c r="L48" s="27">
        <f t="shared" si="0"/>
        <v>45.5</v>
      </c>
    </row>
    <row r="49" spans="1:14">
      <c r="A49" s="22" t="s">
        <v>87</v>
      </c>
      <c r="B49" s="35">
        <v>43878</v>
      </c>
      <c r="C49" s="35">
        <v>43892</v>
      </c>
      <c r="D49" s="5"/>
      <c r="E49" s="49"/>
      <c r="F49" s="5">
        <v>12.19</v>
      </c>
      <c r="G49" s="5">
        <v>5.5</v>
      </c>
      <c r="H49" s="5"/>
      <c r="I49" s="5"/>
      <c r="J49" s="6">
        <v>25</v>
      </c>
      <c r="K49" s="6">
        <v>11</v>
      </c>
      <c r="L49" s="6">
        <f t="shared" si="0"/>
        <v>9.7999999999999989</v>
      </c>
    </row>
    <row r="50" spans="1:14">
      <c r="A50" s="22" t="s">
        <v>89</v>
      </c>
      <c r="B50" s="35">
        <v>43908</v>
      </c>
      <c r="C50" s="35">
        <v>43893</v>
      </c>
      <c r="D50" s="5"/>
      <c r="E50" s="49"/>
      <c r="F50" s="5">
        <v>9.6</v>
      </c>
      <c r="G50" s="5">
        <v>5.5</v>
      </c>
      <c r="H50" s="5"/>
      <c r="I50" s="5"/>
      <c r="J50" s="6">
        <v>25</v>
      </c>
      <c r="K50" s="6">
        <v>11</v>
      </c>
      <c r="L50" s="6">
        <f t="shared" si="0"/>
        <v>9.7999999999999989</v>
      </c>
    </row>
    <row r="51" spans="1:14">
      <c r="A51" s="22" t="s">
        <v>85</v>
      </c>
      <c r="B51" s="35">
        <v>43881</v>
      </c>
      <c r="C51" s="35">
        <v>43895</v>
      </c>
      <c r="D51" s="5"/>
      <c r="E51" s="49"/>
      <c r="F51" s="5">
        <v>9.14</v>
      </c>
      <c r="G51" s="5">
        <f>11/30*15</f>
        <v>5.5</v>
      </c>
      <c r="H51" s="5"/>
      <c r="I51" s="5"/>
      <c r="J51" s="6">
        <v>25</v>
      </c>
      <c r="K51" s="6">
        <v>11</v>
      </c>
      <c r="L51" s="6">
        <f t="shared" si="0"/>
        <v>9.7999999999999989</v>
      </c>
    </row>
    <row r="52" spans="1:14">
      <c r="A52" s="22" t="s">
        <v>86</v>
      </c>
      <c r="B52" s="35">
        <v>43882</v>
      </c>
      <c r="C52" s="35">
        <v>43896</v>
      </c>
      <c r="D52" s="5"/>
      <c r="E52" s="49"/>
      <c r="F52" s="5">
        <v>12.19</v>
      </c>
      <c r="G52" s="5">
        <f>22/2</f>
        <v>11</v>
      </c>
      <c r="H52" s="5"/>
      <c r="I52" s="5"/>
      <c r="J52" s="6">
        <v>60</v>
      </c>
      <c r="K52" s="6">
        <v>22</v>
      </c>
      <c r="L52" s="6">
        <f t="shared" si="0"/>
        <v>26.599999999999998</v>
      </c>
    </row>
    <row r="53" spans="1:14">
      <c r="A53" s="22" t="s">
        <v>82</v>
      </c>
      <c r="B53" s="45">
        <v>40235</v>
      </c>
      <c r="C53" s="35">
        <v>43901</v>
      </c>
      <c r="D53" s="5"/>
      <c r="E53" s="49"/>
      <c r="F53" s="5">
        <v>9.6</v>
      </c>
      <c r="G53" s="5">
        <f>11/2</f>
        <v>5.5</v>
      </c>
      <c r="H53" s="5"/>
      <c r="I53" s="5"/>
      <c r="J53" s="6">
        <v>25</v>
      </c>
      <c r="K53" s="6">
        <v>11</v>
      </c>
      <c r="L53" s="6">
        <f t="shared" si="0"/>
        <v>9.7999999999999989</v>
      </c>
    </row>
    <row r="54" spans="1:14">
      <c r="A54" s="22" t="s">
        <v>84</v>
      </c>
      <c r="B54" s="35">
        <v>43889</v>
      </c>
      <c r="C54" s="35">
        <v>43903</v>
      </c>
      <c r="D54" s="5"/>
      <c r="E54" s="49"/>
      <c r="F54" s="5">
        <v>9.14</v>
      </c>
      <c r="G54" s="5">
        <f>11/30*15</f>
        <v>5.5</v>
      </c>
      <c r="H54" s="5"/>
      <c r="I54" s="5"/>
      <c r="J54" s="6">
        <v>25</v>
      </c>
      <c r="K54" s="6">
        <v>11</v>
      </c>
      <c r="L54" s="6">
        <f t="shared" si="0"/>
        <v>9.7999999999999989</v>
      </c>
    </row>
    <row r="55" spans="1:14">
      <c r="A55" s="22" t="s">
        <v>80</v>
      </c>
      <c r="B55" s="35">
        <v>43873</v>
      </c>
      <c r="C55" s="35">
        <v>43910</v>
      </c>
      <c r="D55" s="5"/>
      <c r="E55" s="49"/>
      <c r="F55" s="5">
        <v>21.84</v>
      </c>
      <c r="G55" s="5">
        <f>56/30*38</f>
        <v>70.933333333333337</v>
      </c>
      <c r="H55" s="5"/>
      <c r="I55" s="5"/>
      <c r="J55" s="6">
        <v>120</v>
      </c>
      <c r="K55" s="6">
        <v>56</v>
      </c>
      <c r="L55" s="6">
        <f t="shared" si="0"/>
        <v>44.8</v>
      </c>
    </row>
    <row r="56" spans="1:14">
      <c r="A56" s="22" t="s">
        <v>83</v>
      </c>
      <c r="B56" s="35">
        <v>43872</v>
      </c>
      <c r="C56" s="35">
        <v>43913</v>
      </c>
      <c r="D56" s="5"/>
      <c r="E56" s="49"/>
      <c r="F56" s="5">
        <v>12.24</v>
      </c>
      <c r="G56" s="5">
        <f>45/30*42</f>
        <v>63</v>
      </c>
      <c r="H56" s="5"/>
      <c r="I56" s="5"/>
      <c r="J56" s="6">
        <v>85</v>
      </c>
      <c r="K56" s="6">
        <v>45</v>
      </c>
      <c r="L56" s="6">
        <f t="shared" si="0"/>
        <v>28</v>
      </c>
    </row>
    <row r="57" spans="1:14">
      <c r="A57" s="22" t="s">
        <v>88</v>
      </c>
      <c r="B57" s="35">
        <v>43855</v>
      </c>
      <c r="C57" s="35">
        <v>43941</v>
      </c>
      <c r="D57" s="5"/>
      <c r="E57" s="49"/>
      <c r="F57" s="5">
        <v>13.93</v>
      </c>
      <c r="G57" s="5">
        <f>56/30*85</f>
        <v>158.66666666666666</v>
      </c>
      <c r="H57" s="5"/>
      <c r="I57" s="5"/>
      <c r="J57" s="6">
        <v>110</v>
      </c>
      <c r="K57" s="6">
        <v>56</v>
      </c>
      <c r="L57" s="6">
        <f t="shared" si="0"/>
        <v>37.799999999999997</v>
      </c>
    </row>
    <row r="58" spans="1:14">
      <c r="A58" s="22" t="s">
        <v>90</v>
      </c>
      <c r="B58" s="35" t="s">
        <v>96</v>
      </c>
      <c r="C58" s="35">
        <v>44015</v>
      </c>
      <c r="D58" s="5" t="s">
        <v>160</v>
      </c>
      <c r="E58" s="49">
        <v>12.5</v>
      </c>
      <c r="F58" s="5">
        <v>11.29</v>
      </c>
      <c r="G58" s="5">
        <f>100</f>
        <v>100</v>
      </c>
      <c r="H58" s="5"/>
      <c r="I58" s="5"/>
      <c r="J58" s="6">
        <v>75</v>
      </c>
      <c r="K58" s="6">
        <f>25+11</f>
        <v>36</v>
      </c>
      <c r="L58" s="6">
        <f>12.5+(62.5-K58)*0.7</f>
        <v>31.049999999999997</v>
      </c>
      <c r="N58" s="41"/>
    </row>
    <row r="59" spans="1:14">
      <c r="A59" s="22" t="s">
        <v>97</v>
      </c>
      <c r="B59" s="35">
        <v>43990</v>
      </c>
      <c r="C59" s="35">
        <v>44036</v>
      </c>
      <c r="D59" s="5"/>
      <c r="E59" s="49"/>
      <c r="F59" s="5">
        <v>8.75</v>
      </c>
      <c r="G59" s="5">
        <f>56/30*46</f>
        <v>85.866666666666674</v>
      </c>
      <c r="H59" s="5"/>
      <c r="I59" s="5"/>
      <c r="J59" s="6">
        <v>110</v>
      </c>
      <c r="K59" s="6">
        <f>45+11</f>
        <v>56</v>
      </c>
      <c r="L59" s="6">
        <f>(J59-K59)*0.7</f>
        <v>37.799999999999997</v>
      </c>
    </row>
    <row r="60" spans="1:14">
      <c r="A60" s="22" t="s">
        <v>95</v>
      </c>
      <c r="B60" s="35">
        <v>44028</v>
      </c>
      <c r="C60" s="35">
        <v>44040</v>
      </c>
      <c r="D60" s="5"/>
      <c r="E60" s="49"/>
      <c r="F60" s="5">
        <v>8.75</v>
      </c>
      <c r="G60" s="5">
        <f>41/30*12</f>
        <v>16.399999999999999</v>
      </c>
      <c r="H60" s="5"/>
      <c r="I60" s="5"/>
      <c r="J60" s="6">
        <v>60</v>
      </c>
      <c r="K60" s="6">
        <v>41</v>
      </c>
      <c r="L60" s="6">
        <f>(J60-K60)*0.7</f>
        <v>13.299999999999999</v>
      </c>
    </row>
    <row r="61" spans="1:14">
      <c r="A61" s="22" t="s">
        <v>93</v>
      </c>
      <c r="B61" s="35">
        <v>44043</v>
      </c>
      <c r="C61" s="35">
        <v>44043</v>
      </c>
      <c r="D61" s="5" t="s">
        <v>160</v>
      </c>
      <c r="E61" s="49">
        <v>15</v>
      </c>
      <c r="F61" s="5">
        <v>27.02</v>
      </c>
      <c r="G61" s="5">
        <v>0</v>
      </c>
      <c r="H61" s="5"/>
      <c r="I61" s="5"/>
      <c r="J61" s="6">
        <v>160</v>
      </c>
      <c r="K61" s="6">
        <f>45+22</f>
        <v>67</v>
      </c>
      <c r="L61" s="6">
        <f>15+78*0.7</f>
        <v>69.599999999999994</v>
      </c>
      <c r="N61" s="41"/>
    </row>
    <row r="62" spans="1:14">
      <c r="A62" s="22" t="s">
        <v>98</v>
      </c>
      <c r="B62" s="35">
        <v>44048</v>
      </c>
      <c r="C62" s="35">
        <v>44081</v>
      </c>
      <c r="D62" s="5" t="s">
        <v>160</v>
      </c>
      <c r="E62" s="49">
        <v>17.5</v>
      </c>
      <c r="F62" s="5">
        <v>27.88</v>
      </c>
      <c r="G62" s="5">
        <f>58/30*32</f>
        <v>61.866666666666667</v>
      </c>
      <c r="H62" s="5">
        <v>125</v>
      </c>
      <c r="I62" s="5"/>
      <c r="J62" s="6">
        <v>140</v>
      </c>
      <c r="K62" s="6">
        <f>25+33</f>
        <v>58</v>
      </c>
      <c r="L62" s="6">
        <f>17.5+64.5*0.7</f>
        <v>62.65</v>
      </c>
      <c r="N62" s="41"/>
    </row>
    <row r="63" spans="1:14">
      <c r="A63" s="22" t="s">
        <v>91</v>
      </c>
      <c r="B63" s="35">
        <v>44011</v>
      </c>
      <c r="C63" s="35">
        <v>44084</v>
      </c>
      <c r="D63" s="5"/>
      <c r="E63" s="49"/>
      <c r="F63" s="5">
        <v>11.29</v>
      </c>
      <c r="G63" s="5">
        <f>25/30*71</f>
        <v>59.166666666666671</v>
      </c>
      <c r="H63" s="5"/>
      <c r="I63" s="5"/>
      <c r="J63" s="6">
        <v>40</v>
      </c>
      <c r="K63" s="6">
        <v>25</v>
      </c>
      <c r="L63" s="6">
        <f>(J63-K63)*0.7</f>
        <v>10.5</v>
      </c>
    </row>
    <row r="64" spans="1:14">
      <c r="A64" s="2" t="s">
        <v>99</v>
      </c>
      <c r="B64" s="35">
        <v>44084</v>
      </c>
      <c r="C64" s="35">
        <v>44105</v>
      </c>
      <c r="D64" s="5" t="s">
        <v>160</v>
      </c>
      <c r="E64" s="49">
        <v>5</v>
      </c>
      <c r="F64" s="5">
        <v>12.24</v>
      </c>
      <c r="G64" s="5">
        <f>25/30*20</f>
        <v>16.666666666666668</v>
      </c>
      <c r="H64" s="5"/>
      <c r="I64" s="5"/>
      <c r="J64" s="43">
        <v>40</v>
      </c>
      <c r="K64" s="6">
        <v>22</v>
      </c>
      <c r="L64" s="6">
        <f>5+13*0.7</f>
        <v>14.1</v>
      </c>
      <c r="N64" s="41"/>
    </row>
    <row r="65" spans="1:14">
      <c r="A65" s="2" t="s">
        <v>102</v>
      </c>
      <c r="B65" s="4" t="s">
        <v>103</v>
      </c>
      <c r="C65" s="4">
        <v>44110</v>
      </c>
      <c r="D65" s="5" t="s">
        <v>160</v>
      </c>
      <c r="E65" s="49">
        <v>10</v>
      </c>
      <c r="F65" s="5">
        <v>36.65</v>
      </c>
      <c r="G65" s="5">
        <f>115/30*26</f>
        <v>99.666666666666671</v>
      </c>
      <c r="H65" s="5"/>
      <c r="I65" s="5"/>
      <c r="J65" s="6">
        <v>180</v>
      </c>
      <c r="K65" s="6">
        <v>115</v>
      </c>
      <c r="L65" s="6">
        <f>10+55*0.7</f>
        <v>48.5</v>
      </c>
      <c r="N65" s="41"/>
    </row>
    <row r="66" spans="1:14">
      <c r="A66" s="2" t="s">
        <v>94</v>
      </c>
      <c r="B66" s="35">
        <v>44124</v>
      </c>
      <c r="C66" s="35">
        <v>44124</v>
      </c>
      <c r="D66" s="5"/>
      <c r="E66" s="49"/>
      <c r="F66" s="5">
        <v>7.25</v>
      </c>
      <c r="G66" s="5">
        <v>0</v>
      </c>
      <c r="H66" s="5"/>
      <c r="I66" s="5"/>
      <c r="J66" s="6">
        <v>25</v>
      </c>
      <c r="K66" s="6">
        <v>11</v>
      </c>
      <c r="L66" s="6">
        <f>(J66-K66)*0.7</f>
        <v>9.7999999999999989</v>
      </c>
    </row>
    <row r="67" spans="1:14">
      <c r="A67" s="2" t="s">
        <v>100</v>
      </c>
      <c r="B67" s="4">
        <v>44018</v>
      </c>
      <c r="C67" s="4">
        <v>44124</v>
      </c>
      <c r="D67" s="40"/>
      <c r="E67" s="2"/>
      <c r="F67" s="5">
        <v>9.5</v>
      </c>
      <c r="G67" s="5">
        <f>25/30*104</f>
        <v>86.666666666666671</v>
      </c>
      <c r="H67" s="5"/>
      <c r="I67" s="5"/>
      <c r="J67" s="6">
        <v>70</v>
      </c>
      <c r="K67" s="6">
        <v>25</v>
      </c>
      <c r="L67" s="6">
        <f>(J67-K67)*0.7</f>
        <v>31.499999999999996</v>
      </c>
    </row>
    <row r="68" spans="1:14">
      <c r="A68" s="2" t="s">
        <v>101</v>
      </c>
      <c r="B68" s="4">
        <v>44070</v>
      </c>
      <c r="C68" s="4">
        <v>44131</v>
      </c>
      <c r="D68" s="40"/>
      <c r="E68" s="2"/>
      <c r="F68" s="5">
        <v>13.93</v>
      </c>
      <c r="G68" s="5">
        <f>71/30*60</f>
        <v>142</v>
      </c>
      <c r="H68" s="5"/>
      <c r="I68" s="5"/>
      <c r="J68" s="6">
        <v>120</v>
      </c>
      <c r="K68" s="6">
        <f>60+11</f>
        <v>71</v>
      </c>
      <c r="L68" s="6">
        <f>(J68-K68)*0.7</f>
        <v>34.299999999999997</v>
      </c>
    </row>
    <row r="69" spans="1:14">
      <c r="A69" s="22" t="s">
        <v>104</v>
      </c>
      <c r="B69" s="4">
        <v>44159</v>
      </c>
      <c r="C69" s="4">
        <v>44187</v>
      </c>
      <c r="D69" s="40"/>
      <c r="E69" s="2"/>
      <c r="F69" s="5">
        <v>13.93</v>
      </c>
      <c r="G69" s="5">
        <f>36/30*28</f>
        <v>33.6</v>
      </c>
      <c r="H69" s="5"/>
      <c r="I69" s="5"/>
      <c r="J69" s="6">
        <v>110</v>
      </c>
      <c r="K69" s="6">
        <f>25+11</f>
        <v>36</v>
      </c>
      <c r="L69" s="6">
        <f>(J69-K69)*0.7</f>
        <v>51.8</v>
      </c>
    </row>
    <row r="70" spans="1:14">
      <c r="A70" s="39" t="s">
        <v>120</v>
      </c>
      <c r="B70" s="15">
        <v>44169</v>
      </c>
      <c r="C70" s="15">
        <v>44208</v>
      </c>
      <c r="D70" s="5" t="s">
        <v>160</v>
      </c>
      <c r="E70" s="34">
        <v>10</v>
      </c>
      <c r="F70" s="37"/>
      <c r="G70" s="5">
        <f>41/30*38</f>
        <v>51.933333333333337</v>
      </c>
      <c r="H70" s="5"/>
      <c r="I70" s="5"/>
      <c r="J70" s="17">
        <v>70</v>
      </c>
      <c r="K70" s="26">
        <v>45</v>
      </c>
      <c r="L70" s="37">
        <f>10+(60-45)*0.7</f>
        <v>20.5</v>
      </c>
      <c r="M70" s="1" t="s">
        <v>145</v>
      </c>
    </row>
    <row r="71" spans="1:14">
      <c r="A71" s="22" t="s">
        <v>108</v>
      </c>
      <c r="B71" s="4">
        <v>44185</v>
      </c>
      <c r="C71" s="4">
        <v>44242</v>
      </c>
      <c r="D71" s="5" t="s">
        <v>160</v>
      </c>
      <c r="E71" s="49">
        <v>20</v>
      </c>
      <c r="F71" s="5">
        <v>26.48</v>
      </c>
      <c r="G71" s="5">
        <f>50/30*55</f>
        <v>91.666666666666671</v>
      </c>
      <c r="H71" s="5">
        <v>160</v>
      </c>
      <c r="I71" s="5"/>
      <c r="J71" s="6">
        <v>190</v>
      </c>
      <c r="K71" s="6">
        <v>61</v>
      </c>
      <c r="L71" s="5">
        <f>(20+(170-61)*0.7)</f>
        <v>96.3</v>
      </c>
      <c r="M71" s="1" t="s">
        <v>145</v>
      </c>
    </row>
    <row r="72" spans="1:14">
      <c r="A72" s="22" t="s">
        <v>109</v>
      </c>
      <c r="B72" s="4">
        <v>44209</v>
      </c>
      <c r="C72" s="4">
        <v>44250</v>
      </c>
      <c r="D72" s="5" t="s">
        <v>160</v>
      </c>
      <c r="E72" s="49">
        <v>22.5</v>
      </c>
      <c r="F72" s="5">
        <v>22.83</v>
      </c>
      <c r="G72" s="5">
        <f>100/30*40</f>
        <v>133.33333333333334</v>
      </c>
      <c r="H72" s="5">
        <v>125</v>
      </c>
      <c r="I72" s="5"/>
      <c r="J72" s="6">
        <v>210</v>
      </c>
      <c r="K72" s="6">
        <v>100</v>
      </c>
      <c r="L72" s="6">
        <f>(22.5+87.5*0.7)</f>
        <v>83.75</v>
      </c>
    </row>
    <row r="73" spans="1:14">
      <c r="A73" s="2" t="s">
        <v>113</v>
      </c>
      <c r="B73" s="4">
        <v>44245</v>
      </c>
      <c r="C73" s="4">
        <v>44271</v>
      </c>
      <c r="D73" s="5" t="s">
        <v>160</v>
      </c>
      <c r="E73" s="49">
        <v>15</v>
      </c>
      <c r="F73" s="5">
        <v>26.76</v>
      </c>
      <c r="G73" s="5">
        <f>67/30*28</f>
        <v>62.533333333333331</v>
      </c>
      <c r="H73" s="5"/>
      <c r="I73" s="5"/>
      <c r="J73" s="6">
        <v>140</v>
      </c>
      <c r="K73" s="6">
        <v>67</v>
      </c>
      <c r="L73" s="6">
        <f>(15+0.7*58)</f>
        <v>55.599999999999994</v>
      </c>
    </row>
    <row r="74" spans="1:14">
      <c r="A74" s="2" t="s">
        <v>114</v>
      </c>
      <c r="B74" s="4">
        <v>44222</v>
      </c>
      <c r="C74" s="4">
        <v>44279</v>
      </c>
      <c r="D74" s="5" t="s">
        <v>160</v>
      </c>
      <c r="E74" s="49">
        <v>12.5</v>
      </c>
      <c r="F74" s="5">
        <v>13.4</v>
      </c>
      <c r="G74" s="5">
        <f>56/30*58</f>
        <v>108.26666666666667</v>
      </c>
      <c r="H74" s="5">
        <v>100</v>
      </c>
      <c r="I74" s="5"/>
      <c r="J74" s="6">
        <v>140</v>
      </c>
      <c r="K74" s="6">
        <v>56</v>
      </c>
      <c r="L74" s="5">
        <f>(12.5+71.5*0.7)</f>
        <v>62.55</v>
      </c>
      <c r="M74" s="1" t="s">
        <v>145</v>
      </c>
    </row>
    <row r="75" spans="1:14">
      <c r="A75" s="2" t="s">
        <v>112</v>
      </c>
      <c r="B75" s="4">
        <v>44270</v>
      </c>
      <c r="C75" s="4">
        <v>44286</v>
      </c>
      <c r="D75" s="5" t="s">
        <v>160</v>
      </c>
      <c r="E75" s="49">
        <v>17.5</v>
      </c>
      <c r="F75" s="5">
        <v>31.96</v>
      </c>
      <c r="G75" s="5">
        <f>55/30*16</f>
        <v>29.333333333333332</v>
      </c>
      <c r="H75" s="5">
        <v>75</v>
      </c>
      <c r="I75" s="5"/>
      <c r="J75" s="6">
        <v>100</v>
      </c>
      <c r="K75" s="6">
        <v>55</v>
      </c>
      <c r="L75" s="6">
        <f>(17.5+27.5*0.7)</f>
        <v>36.75</v>
      </c>
    </row>
    <row r="76" spans="1:14">
      <c r="A76" s="2" t="s">
        <v>119</v>
      </c>
      <c r="B76" s="4">
        <v>44281</v>
      </c>
      <c r="C76" s="4">
        <v>44316</v>
      </c>
      <c r="D76" s="40"/>
      <c r="E76" s="2"/>
      <c r="F76" s="5">
        <v>14.26</v>
      </c>
      <c r="G76" s="5">
        <f>45/30*34</f>
        <v>51</v>
      </c>
      <c r="H76" s="5"/>
      <c r="I76" s="5"/>
      <c r="J76" s="6">
        <v>110</v>
      </c>
      <c r="K76" s="6">
        <v>45</v>
      </c>
      <c r="L76" s="6">
        <f>(65*0.7)</f>
        <v>45.5</v>
      </c>
    </row>
    <row r="77" spans="1:14">
      <c r="A77" s="22" t="s">
        <v>121</v>
      </c>
      <c r="B77" s="4">
        <v>44316</v>
      </c>
      <c r="C77" s="4">
        <v>44354</v>
      </c>
      <c r="D77" s="40"/>
      <c r="E77" s="2"/>
      <c r="F77" s="5">
        <v>15.15</v>
      </c>
      <c r="G77" s="5">
        <f>36/30*37</f>
        <v>44.4</v>
      </c>
      <c r="H77" s="5"/>
      <c r="I77" s="5"/>
      <c r="J77" s="6">
        <v>110</v>
      </c>
      <c r="K77" s="6">
        <v>36</v>
      </c>
      <c r="L77" s="5">
        <f>(J77-K77)*0.7</f>
        <v>51.8</v>
      </c>
      <c r="M77" s="1" t="s">
        <v>145</v>
      </c>
    </row>
    <row r="78" spans="1:14">
      <c r="A78" s="22" t="s">
        <v>126</v>
      </c>
      <c r="B78" s="4">
        <v>44336</v>
      </c>
      <c r="C78" s="4">
        <v>44370</v>
      </c>
      <c r="D78" s="5" t="s">
        <v>161</v>
      </c>
      <c r="E78" s="49">
        <v>17.5</v>
      </c>
      <c r="F78" s="5">
        <v>35.78</v>
      </c>
      <c r="G78" s="5">
        <f>58/30*33</f>
        <v>63.8</v>
      </c>
      <c r="H78" s="5">
        <v>50</v>
      </c>
      <c r="I78" s="5"/>
      <c r="J78" s="6">
        <v>150</v>
      </c>
      <c r="K78" s="6">
        <v>58</v>
      </c>
      <c r="L78" s="6">
        <f>(17.5+74.5*0.7)</f>
        <v>69.650000000000006</v>
      </c>
    </row>
    <row r="79" spans="1:14">
      <c r="A79" s="44" t="s">
        <v>125</v>
      </c>
      <c r="B79" s="4">
        <v>44342</v>
      </c>
      <c r="C79" s="4">
        <v>44386</v>
      </c>
      <c r="D79" s="5" t="s">
        <v>160</v>
      </c>
      <c r="E79" s="49">
        <v>12.5</v>
      </c>
      <c r="F79" s="5">
        <v>15.46</v>
      </c>
      <c r="G79" s="5">
        <f>36/30*43</f>
        <v>51.6</v>
      </c>
      <c r="H79" s="5">
        <f>50+45</f>
        <v>95</v>
      </c>
      <c r="I79" s="5"/>
      <c r="J79" s="6">
        <v>110</v>
      </c>
      <c r="K79" s="6">
        <v>36</v>
      </c>
      <c r="L79" s="6">
        <f>(12.5+(97.5-36)*0.7)</f>
        <v>55.55</v>
      </c>
    </row>
    <row r="80" spans="1:14">
      <c r="A80" s="44" t="s">
        <v>129</v>
      </c>
      <c r="B80" s="4">
        <v>44348</v>
      </c>
      <c r="C80" s="4">
        <v>44389</v>
      </c>
      <c r="D80" s="5" t="s">
        <v>160</v>
      </c>
      <c r="E80" s="49">
        <v>12.5</v>
      </c>
      <c r="F80" s="5">
        <v>26.22</v>
      </c>
      <c r="G80" s="5">
        <f>71/30*42</f>
        <v>99.4</v>
      </c>
      <c r="H80" s="5">
        <f>50+45</f>
        <v>95</v>
      </c>
      <c r="I80" s="5"/>
      <c r="J80" s="6">
        <v>140</v>
      </c>
      <c r="K80" s="6">
        <v>71</v>
      </c>
      <c r="L80" s="6">
        <f>(12.5+(127.5-71)*0.7)</f>
        <v>52.05</v>
      </c>
    </row>
    <row r="81" spans="1:12">
      <c r="A81" s="44" t="s">
        <v>124</v>
      </c>
      <c r="B81" s="4">
        <v>44348</v>
      </c>
      <c r="C81" s="4">
        <v>44389</v>
      </c>
      <c r="D81" s="40"/>
      <c r="E81" s="2"/>
      <c r="F81" s="5">
        <v>11.62</v>
      </c>
      <c r="G81" s="5">
        <f>26/30*42</f>
        <v>36.4</v>
      </c>
      <c r="H81" s="5">
        <v>65</v>
      </c>
      <c r="I81" s="5"/>
      <c r="J81" s="6">
        <v>70</v>
      </c>
      <c r="K81" s="6">
        <v>26</v>
      </c>
      <c r="L81" s="6">
        <f>(70-26)*0.7</f>
        <v>30.799999999999997</v>
      </c>
    </row>
    <row r="82" spans="1:12">
      <c r="A82" s="44" t="s">
        <v>132</v>
      </c>
      <c r="B82" s="4">
        <v>44407</v>
      </c>
      <c r="C82" s="4">
        <v>44461</v>
      </c>
      <c r="D82" s="40"/>
      <c r="E82" s="2"/>
      <c r="F82" s="5">
        <v>9.8800000000000008</v>
      </c>
      <c r="G82" s="5">
        <f>25/30*52</f>
        <v>43.333333333333336</v>
      </c>
      <c r="H82" s="5"/>
      <c r="I82" s="5"/>
      <c r="J82" s="6">
        <v>70</v>
      </c>
      <c r="K82" s="6">
        <v>25</v>
      </c>
      <c r="L82" s="6">
        <f>45*0.7</f>
        <v>31.499999999999996</v>
      </c>
    </row>
    <row r="83" spans="1:12">
      <c r="A83" s="44" t="s">
        <v>133</v>
      </c>
      <c r="B83" s="4">
        <v>44432</v>
      </c>
      <c r="C83" s="4">
        <v>44467</v>
      </c>
      <c r="D83" s="40"/>
      <c r="E83" s="2"/>
      <c r="F83" s="5">
        <v>9.8800000000000008</v>
      </c>
      <c r="G83" s="5">
        <f>25/30*34</f>
        <v>28.333333333333336</v>
      </c>
      <c r="H83" s="5"/>
      <c r="I83" s="5"/>
      <c r="J83" s="6">
        <v>70</v>
      </c>
      <c r="K83" s="6">
        <v>25</v>
      </c>
      <c r="L83" s="6">
        <f>45*0.7</f>
        <v>31.499999999999996</v>
      </c>
    </row>
    <row r="84" spans="1:12">
      <c r="A84" s="44" t="s">
        <v>135</v>
      </c>
      <c r="B84" s="35">
        <v>44460</v>
      </c>
      <c r="C84" s="35">
        <v>44475</v>
      </c>
      <c r="D84" s="40"/>
      <c r="E84" s="2"/>
      <c r="F84" s="5">
        <v>19.760000000000002</v>
      </c>
      <c r="G84" s="5">
        <f>43/30*15</f>
        <v>21.5</v>
      </c>
      <c r="H84" s="5">
        <v>65</v>
      </c>
      <c r="I84" s="5"/>
      <c r="J84" s="6">
        <v>90</v>
      </c>
      <c r="K84" s="6">
        <v>43</v>
      </c>
      <c r="L84" s="6">
        <f>(J84-K84)*0.7</f>
        <v>32.9</v>
      </c>
    </row>
    <row r="85" spans="1:12">
      <c r="A85" s="44" t="s">
        <v>141</v>
      </c>
      <c r="B85" s="35">
        <v>44459</v>
      </c>
      <c r="C85" s="35">
        <v>44481</v>
      </c>
      <c r="D85" s="40" t="s">
        <v>161</v>
      </c>
      <c r="E85" s="12">
        <v>10</v>
      </c>
      <c r="F85" s="5">
        <v>15.15</v>
      </c>
      <c r="G85" s="5">
        <f>46/30*22</f>
        <v>33.733333333333334</v>
      </c>
      <c r="H85" s="5">
        <v>80</v>
      </c>
      <c r="I85" s="5"/>
      <c r="J85" s="6">
        <v>120</v>
      </c>
      <c r="K85" s="6">
        <v>46</v>
      </c>
      <c r="L85" s="6">
        <f>10+(120-56)*0.7</f>
        <v>54.8</v>
      </c>
    </row>
    <row r="86" spans="1:12">
      <c r="A86" s="44" t="s">
        <v>140</v>
      </c>
      <c r="B86" s="35">
        <v>44449</v>
      </c>
      <c r="C86" s="35">
        <v>44482</v>
      </c>
      <c r="D86" s="5" t="s">
        <v>160</v>
      </c>
      <c r="E86" s="49">
        <v>10</v>
      </c>
      <c r="F86" s="5">
        <v>13.4</v>
      </c>
      <c r="G86" s="5">
        <f>60/30*33</f>
        <v>66</v>
      </c>
      <c r="H86" s="5">
        <v>80</v>
      </c>
      <c r="I86" s="5"/>
      <c r="J86" s="6">
        <v>120</v>
      </c>
      <c r="K86" s="6">
        <v>61</v>
      </c>
      <c r="L86" s="6">
        <f>(10+49*0.7)</f>
        <v>44.3</v>
      </c>
    </row>
    <row r="87" spans="1:12">
      <c r="A87" s="44" t="s">
        <v>137</v>
      </c>
      <c r="B87" s="35">
        <v>44474</v>
      </c>
      <c r="C87" s="35">
        <v>44487</v>
      </c>
      <c r="D87" s="40" t="s">
        <v>161</v>
      </c>
      <c r="E87" s="12">
        <v>12.5</v>
      </c>
      <c r="F87" s="5">
        <v>15.15</v>
      </c>
      <c r="G87" s="5">
        <f>71/30*13</f>
        <v>30.766666666666666</v>
      </c>
      <c r="H87" s="5">
        <v>95</v>
      </c>
      <c r="I87" s="5"/>
      <c r="J87" s="6">
        <v>140</v>
      </c>
      <c r="K87" s="6">
        <v>71</v>
      </c>
      <c r="L87" s="6">
        <f>12.5+(56.5)*0.7</f>
        <v>52.05</v>
      </c>
    </row>
    <row r="88" spans="1:12">
      <c r="A88" s="44" t="s">
        <v>143</v>
      </c>
      <c r="B88" s="35">
        <v>43717</v>
      </c>
      <c r="C88" s="35">
        <v>44505</v>
      </c>
      <c r="D88" s="40"/>
      <c r="E88" s="49"/>
      <c r="F88" s="5">
        <v>13.4</v>
      </c>
      <c r="G88" s="5">
        <f>36*25+36/30*26</f>
        <v>931.2</v>
      </c>
      <c r="H88" s="5"/>
      <c r="I88" s="5"/>
      <c r="J88" s="6">
        <v>110</v>
      </c>
      <c r="K88" s="6">
        <v>36</v>
      </c>
      <c r="L88" s="6">
        <f>(110-36)*0.7</f>
        <v>51.8</v>
      </c>
    </row>
    <row r="89" spans="1:12">
      <c r="A89" s="44" t="s">
        <v>139</v>
      </c>
      <c r="B89" s="35">
        <v>44492</v>
      </c>
      <c r="C89" s="35">
        <v>44539</v>
      </c>
      <c r="D89" s="40"/>
      <c r="E89" s="49"/>
      <c r="F89" s="5">
        <v>16.350000000000001</v>
      </c>
      <c r="G89" s="5">
        <f>71/30*46</f>
        <v>108.86666666666667</v>
      </c>
      <c r="H89" s="5">
        <v>95</v>
      </c>
      <c r="I89" s="5"/>
      <c r="J89" s="6">
        <v>140</v>
      </c>
      <c r="K89" s="6">
        <v>71</v>
      </c>
      <c r="L89" s="6">
        <f>(140-71)*0.7/30*21</f>
        <v>33.809999999999995</v>
      </c>
    </row>
    <row r="90" spans="1:12">
      <c r="A90" s="44" t="s">
        <v>144</v>
      </c>
      <c r="B90" s="35">
        <v>44526</v>
      </c>
      <c r="C90" s="35">
        <v>44550</v>
      </c>
      <c r="D90" s="5" t="s">
        <v>160</v>
      </c>
      <c r="E90" s="49">
        <v>12.5</v>
      </c>
      <c r="F90" s="5">
        <v>13.4</v>
      </c>
      <c r="G90" s="5">
        <f>83/30*24</f>
        <v>66.400000000000006</v>
      </c>
      <c r="H90" s="5"/>
      <c r="I90" s="5"/>
      <c r="J90" s="6">
        <v>140</v>
      </c>
      <c r="K90" s="6">
        <v>83</v>
      </c>
      <c r="L90" s="6">
        <f>12.5+(140-12.5-83)*0.7/30*10</f>
        <v>22.883333333333333</v>
      </c>
    </row>
    <row r="91" spans="1:12">
      <c r="A91" s="44" t="s">
        <v>149</v>
      </c>
      <c r="B91" s="35">
        <v>44880</v>
      </c>
      <c r="C91" s="35">
        <v>44575</v>
      </c>
      <c r="D91" s="40"/>
      <c r="E91" s="49"/>
      <c r="F91" s="5">
        <v>13.4</v>
      </c>
      <c r="G91" s="5"/>
      <c r="H91" s="5">
        <v>50</v>
      </c>
      <c r="I91" s="5"/>
      <c r="J91" s="6">
        <v>140</v>
      </c>
      <c r="K91" s="6">
        <f>71</f>
        <v>71</v>
      </c>
      <c r="L91" s="6">
        <f>(140-71)*0.7</f>
        <v>48.3</v>
      </c>
    </row>
    <row r="92" spans="1:12">
      <c r="A92" s="44" t="s">
        <v>146</v>
      </c>
      <c r="B92" s="4">
        <v>44586</v>
      </c>
      <c r="C92" s="4">
        <v>44615</v>
      </c>
      <c r="D92" s="40" t="s">
        <v>161</v>
      </c>
      <c r="E92" s="12">
        <v>12.5</v>
      </c>
      <c r="F92" s="5">
        <v>15.46</v>
      </c>
      <c r="G92" s="5">
        <f>27/30*28</f>
        <v>25.2</v>
      </c>
      <c r="H92" s="5">
        <v>110</v>
      </c>
      <c r="I92" s="5"/>
      <c r="J92" s="6">
        <v>124</v>
      </c>
      <c r="K92" s="6">
        <v>51</v>
      </c>
      <c r="L92" s="6">
        <f>12.5+(124-63.5)*0.7</f>
        <v>54.849999999999994</v>
      </c>
    </row>
    <row r="93" spans="1:12">
      <c r="A93" s="44" t="s">
        <v>148</v>
      </c>
      <c r="B93" s="4">
        <v>44579</v>
      </c>
      <c r="C93" s="4">
        <v>44594</v>
      </c>
      <c r="D93" s="40"/>
      <c r="E93" s="49"/>
      <c r="F93" s="5">
        <v>13.4</v>
      </c>
      <c r="G93" s="5">
        <f>22/30*14</f>
        <v>10.266666666666666</v>
      </c>
      <c r="H93" s="5">
        <v>30</v>
      </c>
      <c r="I93" s="5"/>
      <c r="J93" s="6">
        <v>50</v>
      </c>
      <c r="K93" s="6">
        <v>22</v>
      </c>
      <c r="L93" s="6">
        <f>(50-22)*0.7</f>
        <v>19.599999999999998</v>
      </c>
    </row>
    <row r="94" spans="1:12">
      <c r="A94" s="44" t="s">
        <v>150</v>
      </c>
      <c r="B94" s="4">
        <v>44899</v>
      </c>
      <c r="C94" s="4">
        <v>44607</v>
      </c>
      <c r="D94" s="5" t="s">
        <v>160</v>
      </c>
      <c r="E94" s="12">
        <v>12.5</v>
      </c>
      <c r="F94" s="5">
        <v>13.4</v>
      </c>
      <c r="G94" s="5">
        <f>71/30*61</f>
        <v>144.36666666666667</v>
      </c>
      <c r="H94" s="5">
        <v>80</v>
      </c>
      <c r="I94" s="5"/>
      <c r="J94" s="6">
        <v>120</v>
      </c>
      <c r="K94" s="6">
        <v>60</v>
      </c>
      <c r="L94" s="6">
        <f>12.5+(120-72.5)*0.7</f>
        <v>45.75</v>
      </c>
    </row>
    <row r="95" spans="1:12">
      <c r="A95" s="44" t="s">
        <v>151</v>
      </c>
      <c r="B95" s="4">
        <v>44926</v>
      </c>
      <c r="C95" s="4">
        <v>44649</v>
      </c>
      <c r="D95" s="40"/>
      <c r="E95" s="40"/>
      <c r="F95" s="5">
        <v>9.0299999999999994</v>
      </c>
      <c r="G95" s="5">
        <f>25*2+25/30*29</f>
        <v>74.166666666666671</v>
      </c>
      <c r="H95" s="5">
        <v>80</v>
      </c>
      <c r="I95" s="5"/>
      <c r="J95" s="6">
        <v>67.5</v>
      </c>
      <c r="K95" s="6">
        <v>25</v>
      </c>
      <c r="L95" s="6">
        <f>(67.5-25)*0.7</f>
        <v>29.749999999999996</v>
      </c>
    </row>
    <row r="96" spans="1:12">
      <c r="A96" s="44" t="s">
        <v>152</v>
      </c>
      <c r="B96" s="4">
        <v>44852</v>
      </c>
      <c r="C96" s="4">
        <v>44649</v>
      </c>
      <c r="D96" s="40"/>
      <c r="E96" s="40"/>
      <c r="F96" s="5">
        <v>9.0299999999999994</v>
      </c>
      <c r="G96" s="5">
        <f>45*4+45/30*13</f>
        <v>199.5</v>
      </c>
      <c r="H96" s="5">
        <v>80</v>
      </c>
      <c r="I96" s="5"/>
      <c r="J96" s="6">
        <v>67.5</v>
      </c>
      <c r="K96" s="6">
        <v>45</v>
      </c>
      <c r="L96" s="6">
        <f>(J96-K96)*0.7</f>
        <v>15.749999999999998</v>
      </c>
    </row>
    <row r="97" spans="1:12">
      <c r="A97" s="44" t="s">
        <v>153</v>
      </c>
      <c r="B97" s="4">
        <v>44623</v>
      </c>
      <c r="C97" s="4">
        <v>44623</v>
      </c>
      <c r="D97" s="40"/>
      <c r="E97" s="40"/>
      <c r="F97" s="5">
        <v>11.03</v>
      </c>
      <c r="G97" s="5">
        <v>0</v>
      </c>
      <c r="H97" s="5">
        <v>15</v>
      </c>
      <c r="I97" s="5"/>
      <c r="J97" s="6">
        <v>30</v>
      </c>
      <c r="K97" s="6">
        <v>12</v>
      </c>
      <c r="L97" s="6">
        <f>(J97-K97)*0.7</f>
        <v>12.6</v>
      </c>
    </row>
    <row r="98" spans="1:12">
      <c r="A98" s="44" t="s">
        <v>154</v>
      </c>
      <c r="B98" s="4">
        <v>44881</v>
      </c>
      <c r="C98" s="4">
        <v>44628</v>
      </c>
      <c r="D98" s="40"/>
      <c r="E98" s="40"/>
      <c r="F98" s="5">
        <v>9.0299999999999994</v>
      </c>
      <c r="G98" s="5">
        <f>65*3+65/30*22</f>
        <v>242.66666666666666</v>
      </c>
      <c r="H98" s="5">
        <v>95</v>
      </c>
      <c r="I98" s="5"/>
      <c r="J98" s="6">
        <v>112</v>
      </c>
      <c r="K98" s="6">
        <v>65</v>
      </c>
      <c r="L98" s="6">
        <f>(J98-K98)*0.7</f>
        <v>32.9</v>
      </c>
    </row>
    <row r="99" spans="1:12">
      <c r="A99" s="44" t="s">
        <v>155</v>
      </c>
      <c r="B99" s="4">
        <v>44490</v>
      </c>
      <c r="C99" s="4">
        <v>44648</v>
      </c>
      <c r="D99" s="40"/>
      <c r="E99" s="40"/>
      <c r="F99" s="5">
        <v>13.4</v>
      </c>
      <c r="G99" s="5">
        <f>45*5+45/30*7</f>
        <v>235.5</v>
      </c>
      <c r="H99" s="5">
        <v>80</v>
      </c>
      <c r="I99" s="5"/>
      <c r="J99" s="6">
        <v>67.5</v>
      </c>
      <c r="K99" s="6">
        <v>45</v>
      </c>
      <c r="L99" s="6">
        <f>(J99-K99)*0.7</f>
        <v>15.749999999999998</v>
      </c>
    </row>
    <row r="100" spans="1:12">
      <c r="A100" s="52" t="s">
        <v>156</v>
      </c>
      <c r="B100" s="24">
        <v>44489</v>
      </c>
      <c r="C100" s="24">
        <v>44651</v>
      </c>
      <c r="D100" s="48"/>
      <c r="E100" s="48"/>
      <c r="F100" s="25">
        <v>15.46</v>
      </c>
      <c r="G100" s="25">
        <f>50*5+50/10</f>
        <v>255</v>
      </c>
      <c r="H100" s="25">
        <v>145</v>
      </c>
      <c r="I100" s="25"/>
      <c r="J100" s="27">
        <v>125</v>
      </c>
      <c r="K100" s="27">
        <v>50</v>
      </c>
      <c r="L100" s="27">
        <f>(J100-K100)*0.7</f>
        <v>52.5</v>
      </c>
    </row>
    <row r="101" spans="1:12">
      <c r="A101" s="52" t="s">
        <v>157</v>
      </c>
      <c r="B101" s="24">
        <v>44627</v>
      </c>
      <c r="C101" s="24">
        <v>44627</v>
      </c>
      <c r="D101" s="40" t="s">
        <v>161</v>
      </c>
      <c r="E101" s="12">
        <v>10</v>
      </c>
      <c r="F101" s="25">
        <v>15.46</v>
      </c>
      <c r="G101" s="25">
        <v>0</v>
      </c>
      <c r="H101" s="25">
        <v>0</v>
      </c>
      <c r="I101" s="25"/>
      <c r="J101" s="27">
        <v>100</v>
      </c>
      <c r="K101" s="27">
        <v>44</v>
      </c>
      <c r="L101" s="27">
        <f>10+(46)*0.7</f>
        <v>42.199999999999996</v>
      </c>
    </row>
    <row r="102" spans="1:12">
      <c r="A102" s="44" t="s">
        <v>158</v>
      </c>
      <c r="B102" s="4">
        <v>44627</v>
      </c>
      <c r="C102" s="4">
        <v>44627</v>
      </c>
      <c r="D102" s="40" t="s">
        <v>161</v>
      </c>
      <c r="E102" s="12">
        <v>12.5</v>
      </c>
      <c r="F102" s="5">
        <v>15.46</v>
      </c>
      <c r="G102" s="5">
        <v>0</v>
      </c>
      <c r="H102" s="5">
        <v>0</v>
      </c>
      <c r="I102" s="5"/>
      <c r="J102" s="6">
        <v>125</v>
      </c>
      <c r="K102" s="6">
        <v>55</v>
      </c>
      <c r="L102" s="6">
        <f>12.5+(57.5)*0.7</f>
        <v>52.75</v>
      </c>
    </row>
    <row r="103" spans="1:12">
      <c r="A103" s="44" t="s">
        <v>166</v>
      </c>
      <c r="B103" s="4">
        <v>44599</v>
      </c>
      <c r="C103" s="4">
        <v>44617</v>
      </c>
      <c r="D103" s="40"/>
      <c r="E103" s="5"/>
      <c r="F103" s="5">
        <v>11.03</v>
      </c>
      <c r="G103" s="5">
        <f>25/30*18</f>
        <v>15</v>
      </c>
      <c r="H103" s="5"/>
      <c r="I103" s="5"/>
      <c r="J103" s="6">
        <v>50</v>
      </c>
      <c r="K103" s="6">
        <v>21</v>
      </c>
      <c r="L103" s="6">
        <f>(50-21)*0.7</f>
        <v>20.299999999999997</v>
      </c>
    </row>
    <row r="104" spans="1:12">
      <c r="A104" s="44" t="s">
        <v>167</v>
      </c>
      <c r="B104" s="4">
        <v>44599</v>
      </c>
      <c r="C104" s="4">
        <v>44617</v>
      </c>
      <c r="D104" s="40"/>
      <c r="E104" s="5"/>
      <c r="F104" s="5">
        <v>11.03</v>
      </c>
      <c r="G104" s="5">
        <f>25/30*18</f>
        <v>15</v>
      </c>
      <c r="H104" s="5"/>
      <c r="I104" s="5"/>
      <c r="J104" s="6">
        <v>50</v>
      </c>
      <c r="K104" s="6">
        <v>21</v>
      </c>
      <c r="L104" s="6">
        <f>(50-21)*0.7</f>
        <v>20.299999999999997</v>
      </c>
    </row>
    <row r="105" spans="1:12">
      <c r="A105" s="10" t="s">
        <v>168</v>
      </c>
      <c r="B105" s="4">
        <v>44636</v>
      </c>
      <c r="C105" s="4">
        <v>44659</v>
      </c>
      <c r="D105" s="40" t="s">
        <v>161</v>
      </c>
      <c r="E105" s="5">
        <v>10</v>
      </c>
      <c r="F105" s="5">
        <v>13.72</v>
      </c>
      <c r="G105" s="5">
        <f>55/30*24</f>
        <v>44</v>
      </c>
      <c r="H105" s="5">
        <v>80</v>
      </c>
      <c r="I105" s="5"/>
      <c r="J105" s="6">
        <v>120</v>
      </c>
      <c r="K105" s="6">
        <v>55</v>
      </c>
      <c r="L105" s="6">
        <f>10/30*22+(110-K105)*0.7/30*22</f>
        <v>35.56666666666667</v>
      </c>
    </row>
    <row r="106" spans="1:12">
      <c r="A106" s="28"/>
      <c r="B106" s="36"/>
      <c r="C106" s="36"/>
      <c r="D106" s="28"/>
      <c r="E106" s="28"/>
      <c r="F106" s="30"/>
      <c r="G106" s="28"/>
      <c r="H106" s="30"/>
      <c r="K106" s="47" t="s">
        <v>4</v>
      </c>
      <c r="L106" s="8">
        <f>SUM(L2:L105)</f>
        <v>3827.4600000000014</v>
      </c>
    </row>
    <row r="107" spans="1:12">
      <c r="A107" s="28"/>
      <c r="C107" s="15"/>
      <c r="D107" s="1"/>
      <c r="E107" s="1"/>
      <c r="F107" s="1"/>
      <c r="G107" s="1"/>
      <c r="H107" s="1"/>
      <c r="I107" s="1"/>
      <c r="J107" s="1"/>
      <c r="K107" s="29"/>
      <c r="L107" s="29"/>
    </row>
    <row r="109" spans="1:12">
      <c r="F109" s="30"/>
    </row>
    <row r="110" spans="1:12">
      <c r="G110" s="42"/>
      <c r="J110" t="s">
        <v>164</v>
      </c>
      <c r="L110">
        <f>30*0.7</f>
        <v>21</v>
      </c>
    </row>
    <row r="111" spans="1:12">
      <c r="K111" s="53"/>
    </row>
    <row r="112" spans="1:12">
      <c r="K112" s="53"/>
    </row>
    <row r="113" spans="11:11">
      <c r="K113" s="53"/>
    </row>
  </sheetData>
  <autoFilter ref="A1:N1">
    <sortState ref="A2:M104">
      <sortCondition ref="C1"/>
    </sortState>
  </autoFilter>
  <pageMargins left="0.7" right="0.7" top="0.75" bottom="0.75" header="0.3" footer="0.3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>
  <dimension ref="A1:N107"/>
  <sheetViews>
    <sheetView topLeftCell="A90" workbookViewId="0">
      <selection activeCell="L103" sqref="L103"/>
    </sheetView>
  </sheetViews>
  <sheetFormatPr baseColWidth="10" defaultRowHeight="15"/>
  <cols>
    <col min="1" max="1" width="26.5703125" customWidth="1"/>
    <col min="2" max="2" width="22.85546875" customWidth="1"/>
  </cols>
  <sheetData>
    <row r="1" spans="1:13" ht="60">
      <c r="A1" s="2"/>
      <c r="B1" s="3" t="s">
        <v>0</v>
      </c>
      <c r="C1" s="3" t="s">
        <v>1</v>
      </c>
      <c r="D1" s="3" t="s">
        <v>159</v>
      </c>
      <c r="E1" s="3" t="s">
        <v>162</v>
      </c>
      <c r="F1" s="3" t="s">
        <v>3</v>
      </c>
      <c r="G1" s="3" t="s">
        <v>11</v>
      </c>
      <c r="H1" s="3" t="s">
        <v>36</v>
      </c>
      <c r="I1" s="3" t="s">
        <v>12</v>
      </c>
      <c r="J1" s="3" t="s">
        <v>5</v>
      </c>
      <c r="K1" s="3" t="s">
        <v>7</v>
      </c>
      <c r="L1" s="3" t="s">
        <v>8</v>
      </c>
      <c r="M1" s="14" t="s">
        <v>35</v>
      </c>
    </row>
    <row r="2" spans="1:13">
      <c r="A2" s="2" t="s">
        <v>10</v>
      </c>
      <c r="B2" s="4">
        <v>41852</v>
      </c>
      <c r="C2" s="4">
        <v>41852</v>
      </c>
      <c r="D2" s="5"/>
      <c r="E2" s="49"/>
      <c r="F2" s="5">
        <v>10</v>
      </c>
      <c r="G2" s="5"/>
      <c r="H2" s="5"/>
      <c r="I2" s="5">
        <f>D2+F2+H2</f>
        <v>10</v>
      </c>
      <c r="J2" s="6">
        <v>40</v>
      </c>
      <c r="K2" s="6">
        <v>25</v>
      </c>
      <c r="L2" s="6">
        <f t="shared" ref="L2:L56" si="0">(J2-K2)*0.7</f>
        <v>10.5</v>
      </c>
    </row>
    <row r="3" spans="1:13">
      <c r="A3" s="2" t="s">
        <v>9</v>
      </c>
      <c r="B3" s="4">
        <v>41871</v>
      </c>
      <c r="C3" s="4">
        <v>41892</v>
      </c>
      <c r="D3" s="5">
        <v>50</v>
      </c>
      <c r="E3" s="49"/>
      <c r="F3" s="5">
        <v>20</v>
      </c>
      <c r="G3" s="5">
        <f>K3/30*10</f>
        <v>13.666666666666668</v>
      </c>
      <c r="H3" s="5">
        <v>-300</v>
      </c>
      <c r="I3" s="5">
        <f>D3+F3+H3+G3</f>
        <v>-216.33333333333334</v>
      </c>
      <c r="J3" s="6">
        <v>100</v>
      </c>
      <c r="K3" s="6">
        <v>41</v>
      </c>
      <c r="L3" s="6">
        <f t="shared" si="0"/>
        <v>41.3</v>
      </c>
    </row>
    <row r="4" spans="1:13">
      <c r="A4" s="2" t="s">
        <v>17</v>
      </c>
      <c r="B4" s="4"/>
      <c r="C4" s="4">
        <v>42209</v>
      </c>
      <c r="D4" s="5"/>
      <c r="E4" s="49"/>
      <c r="F4" s="5"/>
      <c r="G4" s="5"/>
      <c r="H4" s="5"/>
      <c r="I4" s="5"/>
      <c r="J4" s="6">
        <v>90</v>
      </c>
      <c r="K4" s="6">
        <v>25</v>
      </c>
      <c r="L4" s="6">
        <f t="shared" si="0"/>
        <v>45.5</v>
      </c>
    </row>
    <row r="5" spans="1:13">
      <c r="A5" s="2" t="s">
        <v>15</v>
      </c>
      <c r="B5" s="4">
        <v>42272</v>
      </c>
      <c r="C5" s="4">
        <v>42275</v>
      </c>
      <c r="D5" s="5">
        <v>50</v>
      </c>
      <c r="E5" s="49"/>
      <c r="F5" s="5"/>
      <c r="G5" s="5">
        <f>25/30*3</f>
        <v>2.5</v>
      </c>
      <c r="H5" s="5"/>
      <c r="I5" s="5">
        <f>D5+F5+H5</f>
        <v>50</v>
      </c>
      <c r="J5" s="6">
        <v>40</v>
      </c>
      <c r="K5" s="6">
        <v>25</v>
      </c>
      <c r="L5" s="6">
        <f t="shared" si="0"/>
        <v>10.5</v>
      </c>
    </row>
    <row r="6" spans="1:13">
      <c r="A6" s="2" t="s">
        <v>18</v>
      </c>
      <c r="B6" s="2"/>
      <c r="C6" s="4">
        <v>42335</v>
      </c>
      <c r="D6" s="5"/>
      <c r="E6" s="49"/>
      <c r="F6" s="5"/>
      <c r="G6" s="5"/>
      <c r="H6" s="5"/>
      <c r="I6" s="5"/>
      <c r="J6" s="6">
        <v>90</v>
      </c>
      <c r="K6" s="6">
        <v>25</v>
      </c>
      <c r="L6" s="6">
        <f t="shared" si="0"/>
        <v>45.5</v>
      </c>
    </row>
    <row r="7" spans="1:13">
      <c r="A7" s="2" t="s">
        <v>16</v>
      </c>
      <c r="B7" s="2"/>
      <c r="C7" s="4">
        <v>42396</v>
      </c>
      <c r="D7" s="5"/>
      <c r="E7" s="49"/>
      <c r="F7" s="5"/>
      <c r="G7" s="5"/>
      <c r="H7" s="5"/>
      <c r="I7" s="5"/>
      <c r="J7" s="6">
        <v>90</v>
      </c>
      <c r="K7" s="6">
        <v>25</v>
      </c>
      <c r="L7" s="6">
        <f t="shared" si="0"/>
        <v>45.5</v>
      </c>
    </row>
    <row r="8" spans="1:13">
      <c r="A8" s="2" t="s">
        <v>22</v>
      </c>
      <c r="B8" s="4">
        <v>42546</v>
      </c>
      <c r="C8" s="4">
        <v>42571</v>
      </c>
      <c r="D8" s="5"/>
      <c r="E8" s="49"/>
      <c r="F8" s="5">
        <f>6.9+8.5</f>
        <v>15.4</v>
      </c>
      <c r="G8" s="5">
        <f>25*25/30</f>
        <v>20.833333333333332</v>
      </c>
      <c r="H8" s="5"/>
      <c r="I8" s="5"/>
      <c r="J8" s="6">
        <v>120</v>
      </c>
      <c r="K8" s="6">
        <v>25</v>
      </c>
      <c r="L8" s="6">
        <f t="shared" si="0"/>
        <v>66.5</v>
      </c>
    </row>
    <row r="9" spans="1:13">
      <c r="A9" s="2" t="s">
        <v>23</v>
      </c>
      <c r="B9" s="4">
        <v>42560</v>
      </c>
      <c r="C9" s="4">
        <v>42571</v>
      </c>
      <c r="D9" s="5"/>
      <c r="E9" s="49"/>
      <c r="F9" s="5">
        <v>8.5</v>
      </c>
      <c r="G9" s="5">
        <f>25*41/30</f>
        <v>34.166666666666664</v>
      </c>
      <c r="H9" s="5"/>
      <c r="I9" s="5"/>
      <c r="J9" s="6">
        <v>107.5</v>
      </c>
      <c r="K9" s="6">
        <v>25</v>
      </c>
      <c r="L9" s="6">
        <f t="shared" si="0"/>
        <v>57.749999999999993</v>
      </c>
    </row>
    <row r="10" spans="1:13">
      <c r="A10" s="2" t="s">
        <v>24</v>
      </c>
      <c r="B10" s="4">
        <v>42530</v>
      </c>
      <c r="C10" s="4">
        <v>42579</v>
      </c>
      <c r="D10" s="5"/>
      <c r="E10" s="49"/>
      <c r="F10" s="5">
        <f>8.5+6.9</f>
        <v>15.4</v>
      </c>
      <c r="G10" s="5">
        <f>25*52/30</f>
        <v>43.333333333333336</v>
      </c>
      <c r="H10" s="5"/>
      <c r="I10" s="5"/>
      <c r="J10" s="6">
        <v>90</v>
      </c>
      <c r="K10" s="6">
        <v>25</v>
      </c>
      <c r="L10" s="6">
        <f t="shared" si="0"/>
        <v>45.5</v>
      </c>
    </row>
    <row r="11" spans="1:13">
      <c r="A11" s="2" t="s">
        <v>26</v>
      </c>
      <c r="B11" s="4">
        <v>42633</v>
      </c>
      <c r="C11" s="4">
        <v>42644</v>
      </c>
      <c r="D11" s="5"/>
      <c r="E11" s="49"/>
      <c r="F11" s="5">
        <v>8.17</v>
      </c>
      <c r="G11" s="5">
        <f>25/30*10</f>
        <v>8.3333333333333339</v>
      </c>
      <c r="H11" s="5"/>
      <c r="I11" s="5"/>
      <c r="J11" s="6">
        <v>70</v>
      </c>
      <c r="K11" s="6">
        <v>25</v>
      </c>
      <c r="L11" s="6">
        <f t="shared" si="0"/>
        <v>31.499999999999996</v>
      </c>
    </row>
    <row r="12" spans="1:13">
      <c r="A12" s="2" t="s">
        <v>27</v>
      </c>
      <c r="B12" s="4">
        <v>42656</v>
      </c>
      <c r="C12" s="4">
        <v>42705</v>
      </c>
      <c r="D12" s="5"/>
      <c r="E12" s="49"/>
      <c r="F12" s="5">
        <v>8.17</v>
      </c>
      <c r="G12" s="5">
        <f>K12/30*47</f>
        <v>39.166666666666671</v>
      </c>
      <c r="H12" s="5"/>
      <c r="I12" s="5"/>
      <c r="J12" s="6">
        <v>40</v>
      </c>
      <c r="K12" s="6">
        <v>25</v>
      </c>
      <c r="L12" s="6">
        <f t="shared" si="0"/>
        <v>10.5</v>
      </c>
    </row>
    <row r="13" spans="1:13">
      <c r="A13" s="2" t="s">
        <v>29</v>
      </c>
      <c r="B13" s="4">
        <v>42683</v>
      </c>
      <c r="C13" s="4">
        <v>42718</v>
      </c>
      <c r="D13" s="5"/>
      <c r="E13" s="49"/>
      <c r="F13" s="5">
        <v>8.9700000000000006</v>
      </c>
      <c r="G13" s="5">
        <f>K13/30*35</f>
        <v>42</v>
      </c>
      <c r="H13" s="5"/>
      <c r="I13" s="5"/>
      <c r="J13" s="6">
        <f>105</f>
        <v>105</v>
      </c>
      <c r="K13" s="6">
        <v>36</v>
      </c>
      <c r="L13" s="6">
        <f t="shared" si="0"/>
        <v>48.3</v>
      </c>
    </row>
    <row r="14" spans="1:13">
      <c r="A14" s="2" t="s">
        <v>28</v>
      </c>
      <c r="B14" s="4">
        <v>42711</v>
      </c>
      <c r="C14" s="4">
        <v>42734</v>
      </c>
      <c r="D14" s="5"/>
      <c r="E14" s="49"/>
      <c r="F14" s="5">
        <v>8.17</v>
      </c>
      <c r="G14" s="5">
        <f>K14/30*23</f>
        <v>19.166666666666668</v>
      </c>
      <c r="H14" s="5"/>
      <c r="I14" s="5"/>
      <c r="J14" s="6">
        <v>40</v>
      </c>
      <c r="K14" s="6">
        <v>25</v>
      </c>
      <c r="L14" s="6">
        <f t="shared" si="0"/>
        <v>10.5</v>
      </c>
    </row>
    <row r="15" spans="1:13">
      <c r="A15" s="2" t="s">
        <v>30</v>
      </c>
      <c r="B15" s="4">
        <v>42732</v>
      </c>
      <c r="C15" s="4">
        <v>42759</v>
      </c>
      <c r="D15" s="5"/>
      <c r="E15" s="49"/>
      <c r="F15" s="5">
        <v>18.8</v>
      </c>
      <c r="G15" s="5">
        <f>K15/30*27</f>
        <v>23.400000000000002</v>
      </c>
      <c r="H15" s="5"/>
      <c r="I15" s="5"/>
      <c r="J15" s="6">
        <v>90</v>
      </c>
      <c r="K15" s="6">
        <v>26</v>
      </c>
      <c r="L15" s="6">
        <f t="shared" si="0"/>
        <v>44.8</v>
      </c>
    </row>
    <row r="16" spans="1:13">
      <c r="A16" s="2" t="s">
        <v>31</v>
      </c>
      <c r="B16" s="4">
        <v>42735</v>
      </c>
      <c r="C16" s="4">
        <v>42782</v>
      </c>
      <c r="D16" s="5">
        <v>50</v>
      </c>
      <c r="E16" s="49"/>
      <c r="F16" s="5">
        <v>20.63</v>
      </c>
      <c r="G16" s="5">
        <f>K16/30*46</f>
        <v>42.933333333333337</v>
      </c>
      <c r="H16" s="5"/>
      <c r="I16" s="5"/>
      <c r="J16" s="6">
        <v>92</v>
      </c>
      <c r="K16" s="6">
        <v>28</v>
      </c>
      <c r="L16" s="6">
        <f t="shared" si="0"/>
        <v>44.8</v>
      </c>
    </row>
    <row r="17" spans="1:13">
      <c r="A17" s="2" t="s">
        <v>32</v>
      </c>
      <c r="B17" s="4">
        <v>42857</v>
      </c>
      <c r="C17" s="4">
        <v>42866</v>
      </c>
      <c r="D17" s="5"/>
      <c r="E17" s="49"/>
      <c r="F17" s="5"/>
      <c r="G17" s="5">
        <f>23/30*9</f>
        <v>6.9</v>
      </c>
      <c r="H17" s="5">
        <f>60*0.7</f>
        <v>42</v>
      </c>
      <c r="I17" s="5"/>
      <c r="J17" s="6">
        <v>60</v>
      </c>
      <c r="K17" s="6">
        <v>23</v>
      </c>
      <c r="L17" s="6">
        <f t="shared" si="0"/>
        <v>25.9</v>
      </c>
    </row>
    <row r="18" spans="1:13">
      <c r="A18" s="2" t="s">
        <v>37</v>
      </c>
      <c r="B18" s="4">
        <v>42891</v>
      </c>
      <c r="C18" s="4">
        <v>42915</v>
      </c>
      <c r="D18" s="5"/>
      <c r="E18" s="49"/>
      <c r="F18" s="5">
        <v>6.83</v>
      </c>
      <c r="G18" s="5">
        <f>24/30*24</f>
        <v>19.200000000000003</v>
      </c>
      <c r="H18" s="5"/>
      <c r="I18" s="5"/>
      <c r="J18" s="6">
        <v>70</v>
      </c>
      <c r="K18" s="6">
        <v>24</v>
      </c>
      <c r="L18" s="6">
        <f t="shared" si="0"/>
        <v>32.199999999999996</v>
      </c>
    </row>
    <row r="19" spans="1:13">
      <c r="A19" s="2" t="s">
        <v>39</v>
      </c>
      <c r="B19" s="4">
        <v>43081</v>
      </c>
      <c r="C19" s="4">
        <v>43109</v>
      </c>
      <c r="D19" s="5"/>
      <c r="E19" s="49"/>
      <c r="F19" s="5">
        <v>9.83</v>
      </c>
      <c r="G19" s="5">
        <f>36/30*28</f>
        <v>33.6</v>
      </c>
      <c r="H19" s="5"/>
      <c r="I19" s="5"/>
      <c r="J19" s="6">
        <v>120</v>
      </c>
      <c r="K19" s="6">
        <v>36</v>
      </c>
      <c r="L19" s="6">
        <f t="shared" si="0"/>
        <v>58.8</v>
      </c>
    </row>
    <row r="20" spans="1:13">
      <c r="A20" s="22" t="s">
        <v>56</v>
      </c>
      <c r="B20" s="4">
        <v>43361</v>
      </c>
      <c r="C20" s="4">
        <v>43132</v>
      </c>
      <c r="D20" s="5"/>
      <c r="E20" s="49"/>
      <c r="F20" s="5">
        <v>14.11</v>
      </c>
      <c r="G20" s="5">
        <f>25*4+25/30*12</f>
        <v>110</v>
      </c>
      <c r="H20" s="5"/>
      <c r="I20" s="5"/>
      <c r="J20" s="6">
        <v>75</v>
      </c>
      <c r="K20" s="6">
        <v>25</v>
      </c>
      <c r="L20" s="6">
        <f t="shared" si="0"/>
        <v>35</v>
      </c>
    </row>
    <row r="21" spans="1:13">
      <c r="A21" s="2" t="s">
        <v>40</v>
      </c>
      <c r="B21" s="4">
        <v>43106</v>
      </c>
      <c r="C21" s="4">
        <v>43146</v>
      </c>
      <c r="D21" s="5"/>
      <c r="E21" s="49"/>
      <c r="F21" s="5">
        <v>8.2899999999999991</v>
      </c>
      <c r="G21" s="5">
        <f>25/30*39</f>
        <v>32.5</v>
      </c>
      <c r="H21" s="5"/>
      <c r="I21" s="5"/>
      <c r="J21" s="6">
        <v>70</v>
      </c>
      <c r="K21" s="6">
        <v>26</v>
      </c>
      <c r="L21" s="6">
        <f t="shared" si="0"/>
        <v>30.799999999999997</v>
      </c>
    </row>
    <row r="22" spans="1:13">
      <c r="A22" s="9" t="s">
        <v>44</v>
      </c>
      <c r="B22" s="4">
        <v>43196</v>
      </c>
      <c r="C22" s="4">
        <v>43250</v>
      </c>
      <c r="D22" s="5"/>
      <c r="E22" s="49"/>
      <c r="F22" s="5">
        <v>13.78</v>
      </c>
      <c r="G22" s="5">
        <f>25*24/30+25</f>
        <v>45</v>
      </c>
      <c r="H22" s="5"/>
      <c r="I22" s="5"/>
      <c r="J22" s="6">
        <f>60</f>
        <v>60</v>
      </c>
      <c r="K22" s="6">
        <v>25</v>
      </c>
      <c r="L22" s="6">
        <f t="shared" si="0"/>
        <v>24.5</v>
      </c>
    </row>
    <row r="23" spans="1:13">
      <c r="A23" s="22" t="s">
        <v>47</v>
      </c>
      <c r="B23" s="4">
        <v>43355</v>
      </c>
      <c r="C23" s="4">
        <v>43277</v>
      </c>
      <c r="D23" s="5"/>
      <c r="E23" s="49"/>
      <c r="F23" s="5">
        <v>19.98</v>
      </c>
      <c r="G23" s="5">
        <f>36*2+36/30*16</f>
        <v>91.2</v>
      </c>
      <c r="H23" s="5"/>
      <c r="I23" s="5"/>
      <c r="J23" s="6">
        <v>105</v>
      </c>
      <c r="K23" s="6">
        <v>36</v>
      </c>
      <c r="L23" s="6">
        <f t="shared" si="0"/>
        <v>48.3</v>
      </c>
    </row>
    <row r="24" spans="1:13">
      <c r="A24" s="22" t="s">
        <v>48</v>
      </c>
      <c r="B24" s="4">
        <v>43367</v>
      </c>
      <c r="C24" s="4">
        <v>43284</v>
      </c>
      <c r="D24" s="5"/>
      <c r="E24" s="49"/>
      <c r="F24" s="5">
        <v>9.1</v>
      </c>
      <c r="G24" s="5">
        <f>25+25/30*27</f>
        <v>47.5</v>
      </c>
      <c r="H24" s="5"/>
      <c r="I24" s="5"/>
      <c r="J24" s="6">
        <v>75</v>
      </c>
      <c r="K24" s="6">
        <v>25</v>
      </c>
      <c r="L24" s="6">
        <f t="shared" si="0"/>
        <v>35</v>
      </c>
    </row>
    <row r="25" spans="1:13">
      <c r="A25" s="2" t="s">
        <v>45</v>
      </c>
      <c r="B25" s="4"/>
      <c r="C25" s="4">
        <v>43286</v>
      </c>
      <c r="D25" s="5"/>
      <c r="E25" s="49"/>
      <c r="F25" s="5">
        <v>11.56</v>
      </c>
      <c r="G25" s="5"/>
      <c r="H25" s="5"/>
      <c r="I25" s="5"/>
      <c r="J25" s="6">
        <v>150</v>
      </c>
      <c r="K25" s="6">
        <v>76</v>
      </c>
      <c r="L25" s="6">
        <f t="shared" si="0"/>
        <v>51.8</v>
      </c>
      <c r="M25" s="20"/>
    </row>
    <row r="26" spans="1:13">
      <c r="A26" s="22" t="s">
        <v>49</v>
      </c>
      <c r="B26" s="4">
        <v>43367</v>
      </c>
      <c r="C26" s="4">
        <v>43291</v>
      </c>
      <c r="D26" s="5"/>
      <c r="E26" s="49"/>
      <c r="F26" s="5">
        <v>10.039999999999999</v>
      </c>
      <c r="G26" s="5">
        <f>50+25/30*14</f>
        <v>61.666666666666671</v>
      </c>
      <c r="H26" s="5"/>
      <c r="I26" s="5"/>
      <c r="J26" s="6">
        <v>70</v>
      </c>
      <c r="K26" s="6">
        <v>25</v>
      </c>
      <c r="L26" s="6">
        <f t="shared" si="0"/>
        <v>31.499999999999996</v>
      </c>
    </row>
    <row r="27" spans="1:13">
      <c r="A27" s="22" t="s">
        <v>51</v>
      </c>
      <c r="B27" s="4">
        <v>43358</v>
      </c>
      <c r="C27" s="4">
        <v>43291</v>
      </c>
      <c r="D27" s="5"/>
      <c r="E27" s="49"/>
      <c r="F27" s="5">
        <v>10.039999999999999</v>
      </c>
      <c r="G27" s="5">
        <f>50+25/30*5</f>
        <v>54.166666666666664</v>
      </c>
      <c r="H27" s="5"/>
      <c r="I27" s="5"/>
      <c r="J27" s="6">
        <v>75</v>
      </c>
      <c r="K27" s="6">
        <v>25</v>
      </c>
      <c r="L27" s="6">
        <f t="shared" si="0"/>
        <v>35</v>
      </c>
    </row>
    <row r="28" spans="1:13">
      <c r="A28" s="22" t="s">
        <v>52</v>
      </c>
      <c r="B28" s="4">
        <v>43367</v>
      </c>
      <c r="C28" s="4">
        <v>43308</v>
      </c>
      <c r="D28" s="5"/>
      <c r="E28" s="49"/>
      <c r="F28" s="5">
        <v>10.86</v>
      </c>
      <c r="G28" s="5">
        <f>25+25/30*27</f>
        <v>47.5</v>
      </c>
      <c r="H28" s="5"/>
      <c r="I28" s="5"/>
      <c r="J28" s="6">
        <v>75</v>
      </c>
      <c r="K28" s="18">
        <v>25</v>
      </c>
      <c r="L28" s="18">
        <f t="shared" si="0"/>
        <v>35</v>
      </c>
    </row>
    <row r="29" spans="1:13">
      <c r="A29" s="22" t="s">
        <v>50</v>
      </c>
      <c r="B29" s="4">
        <v>43367</v>
      </c>
      <c r="C29" s="4">
        <v>43312</v>
      </c>
      <c r="D29" s="5"/>
      <c r="E29" s="49"/>
      <c r="F29" s="5">
        <v>10.86</v>
      </c>
      <c r="G29" s="5">
        <f>25+25/30*24</f>
        <v>45</v>
      </c>
      <c r="H29" s="5"/>
      <c r="I29" s="5"/>
      <c r="J29" s="6">
        <v>70</v>
      </c>
      <c r="K29" s="18">
        <v>25</v>
      </c>
      <c r="L29" s="18">
        <f t="shared" si="0"/>
        <v>31.499999999999996</v>
      </c>
    </row>
    <row r="30" spans="1:13">
      <c r="A30" s="22" t="s">
        <v>55</v>
      </c>
      <c r="B30" s="4">
        <v>43363</v>
      </c>
      <c r="C30" s="4">
        <v>43440</v>
      </c>
      <c r="D30" s="5"/>
      <c r="E30" s="49"/>
      <c r="F30" s="5">
        <v>14.11</v>
      </c>
      <c r="G30" s="5">
        <f>25*2+25*16/30</f>
        <v>63.333333333333336</v>
      </c>
      <c r="H30" s="5"/>
      <c r="I30" s="5"/>
      <c r="J30" s="6">
        <v>75</v>
      </c>
      <c r="K30" s="18">
        <v>25</v>
      </c>
      <c r="L30" s="18">
        <f t="shared" si="0"/>
        <v>35</v>
      </c>
    </row>
    <row r="31" spans="1:13">
      <c r="A31" s="22" t="s">
        <v>54</v>
      </c>
      <c r="B31" s="4">
        <v>43167</v>
      </c>
      <c r="C31" s="4">
        <v>43455</v>
      </c>
      <c r="D31" s="5"/>
      <c r="E31" s="49"/>
      <c r="F31" s="5">
        <v>10.86</v>
      </c>
      <c r="G31" s="5">
        <f>9*25+25*13/30</f>
        <v>235.83333333333334</v>
      </c>
      <c r="H31" s="5"/>
      <c r="I31" s="5"/>
      <c r="J31" s="6">
        <v>90</v>
      </c>
      <c r="K31" s="18">
        <v>36</v>
      </c>
      <c r="L31" s="18">
        <f t="shared" si="0"/>
        <v>37.799999999999997</v>
      </c>
    </row>
    <row r="32" spans="1:13">
      <c r="A32" s="22" t="s">
        <v>57</v>
      </c>
      <c r="B32" s="4">
        <v>43478</v>
      </c>
      <c r="C32" s="4">
        <v>43536</v>
      </c>
      <c r="D32" s="5"/>
      <c r="E32" s="49"/>
      <c r="F32" s="5">
        <v>10.86</v>
      </c>
      <c r="G32" s="5">
        <v>25</v>
      </c>
      <c r="H32" s="5"/>
      <c r="I32" s="5"/>
      <c r="J32" s="6">
        <v>70</v>
      </c>
      <c r="K32" s="6">
        <v>25</v>
      </c>
      <c r="L32" s="6">
        <f t="shared" si="0"/>
        <v>31.499999999999996</v>
      </c>
    </row>
    <row r="33" spans="1:13">
      <c r="A33" s="22" t="s">
        <v>59</v>
      </c>
      <c r="B33" s="4">
        <v>43528</v>
      </c>
      <c r="C33" s="4">
        <v>43538</v>
      </c>
      <c r="D33" s="5"/>
      <c r="E33" s="49"/>
      <c r="F33" s="5">
        <v>14.92</v>
      </c>
      <c r="G33" s="5">
        <f>77/30*10</f>
        <v>25.666666666666668</v>
      </c>
      <c r="H33" s="5"/>
      <c r="I33" s="5"/>
      <c r="J33" s="6">
        <v>169</v>
      </c>
      <c r="K33" s="6">
        <f>64+11+2</f>
        <v>77</v>
      </c>
      <c r="L33" s="6">
        <f t="shared" si="0"/>
        <v>64.399999999999991</v>
      </c>
    </row>
    <row r="34" spans="1:13">
      <c r="A34" s="22" t="s">
        <v>58</v>
      </c>
      <c r="B34" s="4">
        <v>43534</v>
      </c>
      <c r="C34" s="4">
        <v>43542</v>
      </c>
      <c r="D34" s="5"/>
      <c r="E34" s="49"/>
      <c r="F34" s="5">
        <f>10.86*2</f>
        <v>21.72</v>
      </c>
      <c r="G34" s="5">
        <v>0</v>
      </c>
      <c r="H34" s="5"/>
      <c r="I34" s="5"/>
      <c r="J34" s="6">
        <v>120</v>
      </c>
      <c r="K34" s="6">
        <f>60+11</f>
        <v>71</v>
      </c>
      <c r="L34" s="6">
        <f t="shared" si="0"/>
        <v>34.299999999999997</v>
      </c>
    </row>
    <row r="35" spans="1:13">
      <c r="A35" s="22" t="s">
        <v>61</v>
      </c>
      <c r="B35" s="4">
        <v>43482</v>
      </c>
      <c r="C35" s="4">
        <v>43542</v>
      </c>
      <c r="D35" s="5"/>
      <c r="E35" s="49"/>
      <c r="F35" s="5">
        <v>11.1</v>
      </c>
      <c r="G35" s="5">
        <f>25*2</f>
        <v>50</v>
      </c>
      <c r="H35" s="5"/>
      <c r="I35" s="5"/>
      <c r="J35" s="6">
        <v>70</v>
      </c>
      <c r="K35" s="6">
        <v>26</v>
      </c>
      <c r="L35" s="6">
        <f t="shared" si="0"/>
        <v>30.799999999999997</v>
      </c>
    </row>
    <row r="36" spans="1:13">
      <c r="A36" s="22" t="s">
        <v>63</v>
      </c>
      <c r="B36" s="4">
        <v>43593</v>
      </c>
      <c r="C36" s="4">
        <v>43605</v>
      </c>
      <c r="D36" s="5"/>
      <c r="E36" s="49"/>
      <c r="F36" s="5">
        <f>10.86*2+20</f>
        <v>41.72</v>
      </c>
      <c r="G36" s="5">
        <f>18/30*12</f>
        <v>7.1999999999999993</v>
      </c>
      <c r="H36" s="5"/>
      <c r="I36" s="5"/>
      <c r="J36" s="6">
        <v>100</v>
      </c>
      <c r="K36" s="6">
        <f>11+7</f>
        <v>18</v>
      </c>
      <c r="L36" s="6">
        <f t="shared" si="0"/>
        <v>57.4</v>
      </c>
    </row>
    <row r="37" spans="1:13">
      <c r="A37" s="22" t="s">
        <v>67</v>
      </c>
      <c r="B37" s="4">
        <v>43600</v>
      </c>
      <c r="C37" s="4">
        <v>43629</v>
      </c>
      <c r="D37" s="5"/>
      <c r="E37" s="49"/>
      <c r="F37" s="5">
        <f>10.86*2</f>
        <v>21.72</v>
      </c>
      <c r="G37" s="5">
        <f>22/30*58</f>
        <v>42.533333333333331</v>
      </c>
      <c r="H37" s="5">
        <v>50</v>
      </c>
      <c r="I37" s="5">
        <f>F37+G37+H37</f>
        <v>114.25333333333333</v>
      </c>
      <c r="J37" s="6">
        <v>60</v>
      </c>
      <c r="K37" s="6">
        <v>25</v>
      </c>
      <c r="L37" s="6">
        <v>0</v>
      </c>
    </row>
    <row r="38" spans="1:13">
      <c r="A38" s="22" t="s">
        <v>66</v>
      </c>
      <c r="B38" s="4">
        <v>43600</v>
      </c>
      <c r="C38" s="4">
        <v>43629</v>
      </c>
      <c r="D38" s="5"/>
      <c r="E38" s="49"/>
      <c r="F38" s="5">
        <f>10.86</f>
        <v>10.86</v>
      </c>
      <c r="G38" s="5">
        <f>39/30*58</f>
        <v>75.400000000000006</v>
      </c>
      <c r="H38" s="5"/>
      <c r="I38" s="5">
        <f>F38+G38</f>
        <v>86.26</v>
      </c>
      <c r="J38" s="6">
        <v>110</v>
      </c>
      <c r="K38" s="6">
        <f>25+11+3</f>
        <v>39</v>
      </c>
      <c r="L38" s="6">
        <v>0</v>
      </c>
      <c r="M38" t="s">
        <v>73</v>
      </c>
    </row>
    <row r="39" spans="1:13">
      <c r="A39" s="22" t="s">
        <v>64</v>
      </c>
      <c r="B39" s="4">
        <v>43627</v>
      </c>
      <c r="C39" s="4">
        <v>43629</v>
      </c>
      <c r="D39" s="5"/>
      <c r="E39" s="49"/>
      <c r="F39" s="5">
        <v>10.86</v>
      </c>
      <c r="G39" s="5">
        <f>25/30*2</f>
        <v>1.6666666666666667</v>
      </c>
      <c r="H39" s="5"/>
      <c r="I39" s="5">
        <f>F39+G39</f>
        <v>12.526666666666666</v>
      </c>
      <c r="J39" s="6">
        <v>90</v>
      </c>
      <c r="K39" s="6">
        <v>25</v>
      </c>
      <c r="L39" s="6">
        <f t="shared" si="0"/>
        <v>45.5</v>
      </c>
    </row>
    <row r="40" spans="1:13">
      <c r="A40" s="22" t="s">
        <v>65</v>
      </c>
      <c r="B40" s="4">
        <v>43622</v>
      </c>
      <c r="C40" s="4">
        <v>43650</v>
      </c>
      <c r="D40" s="5"/>
      <c r="E40" s="49"/>
      <c r="F40" s="5">
        <v>10.86</v>
      </c>
      <c r="G40" s="5"/>
      <c r="H40" s="5"/>
      <c r="I40" s="5"/>
      <c r="J40" s="6">
        <v>120</v>
      </c>
      <c r="K40" s="6">
        <v>60</v>
      </c>
      <c r="L40" s="6">
        <f t="shared" si="0"/>
        <v>42</v>
      </c>
    </row>
    <row r="41" spans="1:13">
      <c r="A41" s="22" t="s">
        <v>71</v>
      </c>
      <c r="B41" s="4">
        <v>43635</v>
      </c>
      <c r="C41" s="4">
        <v>43662</v>
      </c>
      <c r="D41" s="5"/>
      <c r="E41" s="49"/>
      <c r="F41" s="5">
        <f>10.86*2</f>
        <v>21.72</v>
      </c>
      <c r="G41" s="5"/>
      <c r="H41" s="5"/>
      <c r="I41" s="5"/>
      <c r="J41" s="6">
        <v>70</v>
      </c>
      <c r="K41" s="6">
        <v>26</v>
      </c>
      <c r="L41" s="6">
        <f t="shared" si="0"/>
        <v>30.799999999999997</v>
      </c>
      <c r="M41" t="s">
        <v>72</v>
      </c>
    </row>
    <row r="42" spans="1:13">
      <c r="A42" s="22" t="s">
        <v>77</v>
      </c>
      <c r="B42" s="4">
        <v>43682</v>
      </c>
      <c r="C42" s="4">
        <v>43682</v>
      </c>
      <c r="D42" s="5"/>
      <c r="E42" s="49"/>
      <c r="F42" s="5"/>
      <c r="G42" s="5"/>
      <c r="H42" s="5"/>
      <c r="I42" s="5"/>
      <c r="J42" s="6">
        <v>10</v>
      </c>
      <c r="K42" s="6">
        <v>1</v>
      </c>
      <c r="L42" s="6">
        <f t="shared" si="0"/>
        <v>6.3</v>
      </c>
    </row>
    <row r="43" spans="1:13">
      <c r="A43" s="2" t="s">
        <v>74</v>
      </c>
      <c r="B43" s="4">
        <v>43661</v>
      </c>
      <c r="C43" s="4">
        <v>43711</v>
      </c>
      <c r="D43" s="5"/>
      <c r="E43" s="49"/>
      <c r="F43" s="5">
        <v>10.86</v>
      </c>
      <c r="G43" s="5">
        <f>36/30*48</f>
        <v>57.599999999999994</v>
      </c>
      <c r="H43" s="5"/>
      <c r="I43" s="5"/>
      <c r="J43" s="6">
        <v>105</v>
      </c>
      <c r="K43" s="6">
        <v>36</v>
      </c>
      <c r="L43" s="6">
        <f t="shared" si="0"/>
        <v>48.3</v>
      </c>
    </row>
    <row r="44" spans="1:13">
      <c r="A44" s="2" t="s">
        <v>75</v>
      </c>
      <c r="B44" s="4">
        <v>43656</v>
      </c>
      <c r="C44" s="4">
        <v>43711</v>
      </c>
      <c r="D44" s="5"/>
      <c r="E44" s="49"/>
      <c r="F44" s="5">
        <v>10.86</v>
      </c>
      <c r="G44" s="5">
        <f>36/30*48</f>
        <v>57.599999999999994</v>
      </c>
      <c r="H44" s="5"/>
      <c r="I44" s="5"/>
      <c r="J44" s="6">
        <v>105</v>
      </c>
      <c r="K44" s="6">
        <v>36</v>
      </c>
      <c r="L44" s="18">
        <f t="shared" si="0"/>
        <v>48.3</v>
      </c>
    </row>
    <row r="45" spans="1:13">
      <c r="A45" s="2" t="s">
        <v>76</v>
      </c>
      <c r="B45" s="4">
        <v>43677</v>
      </c>
      <c r="C45" s="4">
        <v>43713</v>
      </c>
      <c r="D45" s="5"/>
      <c r="E45" s="49"/>
      <c r="F45" s="5">
        <v>24.06</v>
      </c>
      <c r="G45" s="5">
        <f>80/30*35</f>
        <v>93.333333333333329</v>
      </c>
      <c r="H45" s="5">
        <v>40</v>
      </c>
      <c r="I45" s="5"/>
      <c r="J45" s="6">
        <v>149</v>
      </c>
      <c r="K45" s="6">
        <v>80</v>
      </c>
      <c r="L45" s="6">
        <f t="shared" si="0"/>
        <v>48.3</v>
      </c>
      <c r="M45" t="s">
        <v>79</v>
      </c>
    </row>
    <row r="46" spans="1:13">
      <c r="A46" s="22" t="s">
        <v>78</v>
      </c>
      <c r="B46" s="4">
        <v>43747</v>
      </c>
      <c r="C46" s="4">
        <v>43789</v>
      </c>
      <c r="D46" s="5"/>
      <c r="E46" s="49"/>
      <c r="F46" s="5">
        <f>9.51+9.44</f>
        <v>18.95</v>
      </c>
      <c r="G46" s="5">
        <f>52/30*41</f>
        <v>71.066666666666663</v>
      </c>
      <c r="H46" s="5"/>
      <c r="I46" s="5"/>
      <c r="J46" s="17">
        <v>99</v>
      </c>
      <c r="K46" s="18">
        <f>52</f>
        <v>52</v>
      </c>
      <c r="L46" s="6">
        <f t="shared" si="0"/>
        <v>32.9</v>
      </c>
    </row>
    <row r="47" spans="1:13">
      <c r="A47" s="2" t="s">
        <v>81</v>
      </c>
      <c r="B47" s="4">
        <v>43788</v>
      </c>
      <c r="C47" s="4">
        <v>43865</v>
      </c>
      <c r="D47" s="5"/>
      <c r="E47" s="49"/>
      <c r="F47" s="5">
        <v>9.14</v>
      </c>
      <c r="G47" s="5">
        <f>25/30*45</f>
        <v>37.5</v>
      </c>
      <c r="H47" s="5"/>
      <c r="I47" s="5"/>
      <c r="J47" s="6">
        <v>90</v>
      </c>
      <c r="K47" s="6">
        <v>25</v>
      </c>
      <c r="L47" s="27">
        <f t="shared" si="0"/>
        <v>45.5</v>
      </c>
    </row>
    <row r="48" spans="1:13">
      <c r="A48" s="22" t="s">
        <v>87</v>
      </c>
      <c r="B48" s="35">
        <v>43878</v>
      </c>
      <c r="C48" s="35">
        <v>43892</v>
      </c>
      <c r="D48" s="5"/>
      <c r="E48" s="49"/>
      <c r="F48" s="5">
        <v>12.19</v>
      </c>
      <c r="G48" s="5">
        <v>5.5</v>
      </c>
      <c r="H48" s="5"/>
      <c r="I48" s="5"/>
      <c r="J48" s="6">
        <v>25</v>
      </c>
      <c r="K48" s="6">
        <v>11</v>
      </c>
      <c r="L48" s="6">
        <f t="shared" si="0"/>
        <v>9.7999999999999989</v>
      </c>
    </row>
    <row r="49" spans="1:14">
      <c r="A49" s="22" t="s">
        <v>89</v>
      </c>
      <c r="B49" s="35">
        <v>43908</v>
      </c>
      <c r="C49" s="35">
        <v>43893</v>
      </c>
      <c r="D49" s="5"/>
      <c r="E49" s="49"/>
      <c r="F49" s="5">
        <v>9.6</v>
      </c>
      <c r="G49" s="5">
        <v>5.5</v>
      </c>
      <c r="H49" s="5"/>
      <c r="I49" s="5"/>
      <c r="J49" s="6">
        <v>25</v>
      </c>
      <c r="K49" s="6">
        <v>11</v>
      </c>
      <c r="L49" s="6">
        <f t="shared" si="0"/>
        <v>9.7999999999999989</v>
      </c>
    </row>
    <row r="50" spans="1:14">
      <c r="A50" s="22" t="s">
        <v>85</v>
      </c>
      <c r="B50" s="35">
        <v>43881</v>
      </c>
      <c r="C50" s="35">
        <v>43895</v>
      </c>
      <c r="D50" s="5"/>
      <c r="E50" s="49"/>
      <c r="F50" s="5">
        <v>9.14</v>
      </c>
      <c r="G50" s="5">
        <f>11/30*15</f>
        <v>5.5</v>
      </c>
      <c r="H50" s="5"/>
      <c r="I50" s="5"/>
      <c r="J50" s="6">
        <v>25</v>
      </c>
      <c r="K50" s="6">
        <v>11</v>
      </c>
      <c r="L50" s="6">
        <f t="shared" si="0"/>
        <v>9.7999999999999989</v>
      </c>
    </row>
    <row r="51" spans="1:14">
      <c r="A51" s="22" t="s">
        <v>86</v>
      </c>
      <c r="B51" s="35">
        <v>43882</v>
      </c>
      <c r="C51" s="35">
        <v>43896</v>
      </c>
      <c r="D51" s="5"/>
      <c r="E51" s="49"/>
      <c r="F51" s="5">
        <v>12.19</v>
      </c>
      <c r="G51" s="5">
        <f>22/2</f>
        <v>11</v>
      </c>
      <c r="H51" s="5"/>
      <c r="I51" s="5"/>
      <c r="J51" s="6">
        <v>60</v>
      </c>
      <c r="K51" s="6">
        <v>22</v>
      </c>
      <c r="L51" s="6">
        <f t="shared" si="0"/>
        <v>26.599999999999998</v>
      </c>
    </row>
    <row r="52" spans="1:14">
      <c r="A52" s="22" t="s">
        <v>82</v>
      </c>
      <c r="B52" s="45">
        <v>40235</v>
      </c>
      <c r="C52" s="35">
        <v>43901</v>
      </c>
      <c r="D52" s="5"/>
      <c r="E52" s="49"/>
      <c r="F52" s="5">
        <v>9.6</v>
      </c>
      <c r="G52" s="5">
        <f>11/2</f>
        <v>5.5</v>
      </c>
      <c r="H52" s="5"/>
      <c r="I52" s="5"/>
      <c r="J52" s="6">
        <v>25</v>
      </c>
      <c r="K52" s="6">
        <v>11</v>
      </c>
      <c r="L52" s="6">
        <f t="shared" si="0"/>
        <v>9.7999999999999989</v>
      </c>
    </row>
    <row r="53" spans="1:14">
      <c r="A53" s="22" t="s">
        <v>84</v>
      </c>
      <c r="B53" s="35">
        <v>43889</v>
      </c>
      <c r="C53" s="35">
        <v>43903</v>
      </c>
      <c r="D53" s="5"/>
      <c r="E53" s="49"/>
      <c r="F53" s="5">
        <v>9.14</v>
      </c>
      <c r="G53" s="5">
        <f>11/30*15</f>
        <v>5.5</v>
      </c>
      <c r="H53" s="5"/>
      <c r="I53" s="5"/>
      <c r="J53" s="6">
        <v>25</v>
      </c>
      <c r="K53" s="6">
        <v>11</v>
      </c>
      <c r="L53" s="6">
        <f t="shared" si="0"/>
        <v>9.7999999999999989</v>
      </c>
    </row>
    <row r="54" spans="1:14">
      <c r="A54" s="22" t="s">
        <v>80</v>
      </c>
      <c r="B54" s="35">
        <v>43873</v>
      </c>
      <c r="C54" s="35">
        <v>43910</v>
      </c>
      <c r="D54" s="5"/>
      <c r="E54" s="49"/>
      <c r="F54" s="5">
        <v>21.84</v>
      </c>
      <c r="G54" s="5">
        <f>56/30*38</f>
        <v>70.933333333333337</v>
      </c>
      <c r="H54" s="5"/>
      <c r="I54" s="5"/>
      <c r="J54" s="6">
        <v>120</v>
      </c>
      <c r="K54" s="6">
        <v>56</v>
      </c>
      <c r="L54" s="6">
        <f t="shared" si="0"/>
        <v>44.8</v>
      </c>
    </row>
    <row r="55" spans="1:14">
      <c r="A55" s="22" t="s">
        <v>83</v>
      </c>
      <c r="B55" s="35">
        <v>43872</v>
      </c>
      <c r="C55" s="35">
        <v>43913</v>
      </c>
      <c r="D55" s="5"/>
      <c r="E55" s="49"/>
      <c r="F55" s="5">
        <v>12.24</v>
      </c>
      <c r="G55" s="5">
        <f>45/30*42</f>
        <v>63</v>
      </c>
      <c r="H55" s="5"/>
      <c r="I55" s="5"/>
      <c r="J55" s="6">
        <v>85</v>
      </c>
      <c r="K55" s="6">
        <v>45</v>
      </c>
      <c r="L55" s="6">
        <f t="shared" si="0"/>
        <v>28</v>
      </c>
    </row>
    <row r="56" spans="1:14">
      <c r="A56" s="22" t="s">
        <v>88</v>
      </c>
      <c r="B56" s="35">
        <v>43855</v>
      </c>
      <c r="C56" s="35">
        <v>43941</v>
      </c>
      <c r="D56" s="5"/>
      <c r="E56" s="49"/>
      <c r="F56" s="5">
        <v>13.93</v>
      </c>
      <c r="G56" s="5">
        <f>56/30*85</f>
        <v>158.66666666666666</v>
      </c>
      <c r="H56" s="5"/>
      <c r="I56" s="5"/>
      <c r="J56" s="6">
        <v>110</v>
      </c>
      <c r="K56" s="6">
        <v>56</v>
      </c>
      <c r="L56" s="6">
        <f t="shared" si="0"/>
        <v>37.799999999999997</v>
      </c>
    </row>
    <row r="57" spans="1:14">
      <c r="A57" s="22" t="s">
        <v>90</v>
      </c>
      <c r="B57" s="35" t="s">
        <v>96</v>
      </c>
      <c r="C57" s="35">
        <v>44015</v>
      </c>
      <c r="D57" s="5" t="s">
        <v>160</v>
      </c>
      <c r="E57" s="49">
        <v>12.5</v>
      </c>
      <c r="F57" s="5">
        <v>11.29</v>
      </c>
      <c r="G57" s="5">
        <f>100</f>
        <v>100</v>
      </c>
      <c r="H57" s="5"/>
      <c r="I57" s="5"/>
      <c r="J57" s="6">
        <v>75</v>
      </c>
      <c r="K57" s="6">
        <f>25+11</f>
        <v>36</v>
      </c>
      <c r="L57" s="6">
        <f>12.5+(62.5-K57)*0.7</f>
        <v>31.049999999999997</v>
      </c>
      <c r="N57" s="41"/>
    </row>
    <row r="58" spans="1:14">
      <c r="A58" s="22" t="s">
        <v>97</v>
      </c>
      <c r="B58" s="35">
        <v>43990</v>
      </c>
      <c r="C58" s="35">
        <v>44036</v>
      </c>
      <c r="D58" s="5"/>
      <c r="E58" s="49"/>
      <c r="F58" s="5">
        <v>8.75</v>
      </c>
      <c r="G58" s="5">
        <f>56/30*46</f>
        <v>85.866666666666674</v>
      </c>
      <c r="H58" s="5"/>
      <c r="I58" s="5"/>
      <c r="J58" s="6">
        <v>110</v>
      </c>
      <c r="K58" s="6">
        <f>45+11</f>
        <v>56</v>
      </c>
      <c r="L58" s="6">
        <f>(J58-K58)*0.7</f>
        <v>37.799999999999997</v>
      </c>
    </row>
    <row r="59" spans="1:14">
      <c r="A59" s="22" t="s">
        <v>95</v>
      </c>
      <c r="B59" s="35">
        <v>44028</v>
      </c>
      <c r="C59" s="35">
        <v>44040</v>
      </c>
      <c r="D59" s="5"/>
      <c r="E59" s="49"/>
      <c r="F59" s="5">
        <v>8.75</v>
      </c>
      <c r="G59" s="5">
        <f>41/30*12</f>
        <v>16.399999999999999</v>
      </c>
      <c r="H59" s="5"/>
      <c r="I59" s="5"/>
      <c r="J59" s="6">
        <v>60</v>
      </c>
      <c r="K59" s="6">
        <v>41</v>
      </c>
      <c r="L59" s="6">
        <f>(J59-K59)*0.7</f>
        <v>13.299999999999999</v>
      </c>
    </row>
    <row r="60" spans="1:14">
      <c r="A60" s="22" t="s">
        <v>93</v>
      </c>
      <c r="B60" s="35">
        <v>44043</v>
      </c>
      <c r="C60" s="35">
        <v>44043</v>
      </c>
      <c r="D60" s="5" t="s">
        <v>160</v>
      </c>
      <c r="E60" s="49">
        <v>15</v>
      </c>
      <c r="F60" s="5">
        <v>27.02</v>
      </c>
      <c r="G60" s="5">
        <v>0</v>
      </c>
      <c r="H60" s="5"/>
      <c r="I60" s="5"/>
      <c r="J60" s="6">
        <v>160</v>
      </c>
      <c r="K60" s="6">
        <f>45+22</f>
        <v>67</v>
      </c>
      <c r="L60" s="6">
        <f>15+78*0.7</f>
        <v>69.599999999999994</v>
      </c>
      <c r="N60" s="41"/>
    </row>
    <row r="61" spans="1:14">
      <c r="A61" s="22" t="s">
        <v>98</v>
      </c>
      <c r="B61" s="35">
        <v>44048</v>
      </c>
      <c r="C61" s="35">
        <v>44081</v>
      </c>
      <c r="D61" s="5" t="s">
        <v>160</v>
      </c>
      <c r="E61" s="49">
        <v>17.5</v>
      </c>
      <c r="F61" s="5">
        <v>27.88</v>
      </c>
      <c r="G61" s="5">
        <f>58/30*32</f>
        <v>61.866666666666667</v>
      </c>
      <c r="H61" s="5">
        <v>125</v>
      </c>
      <c r="I61" s="5"/>
      <c r="J61" s="6">
        <v>140</v>
      </c>
      <c r="K61" s="6">
        <f>25+33</f>
        <v>58</v>
      </c>
      <c r="L61" s="6">
        <f>17.5+64.5*0.7</f>
        <v>62.65</v>
      </c>
      <c r="N61" s="41"/>
    </row>
    <row r="62" spans="1:14">
      <c r="A62" s="22" t="s">
        <v>91</v>
      </c>
      <c r="B62" s="35">
        <v>44011</v>
      </c>
      <c r="C62" s="35">
        <v>44084</v>
      </c>
      <c r="D62" s="5"/>
      <c r="E62" s="49"/>
      <c r="F62" s="5">
        <v>11.29</v>
      </c>
      <c r="G62" s="5">
        <f>25/30*71</f>
        <v>59.166666666666671</v>
      </c>
      <c r="H62" s="5"/>
      <c r="I62" s="5"/>
      <c r="J62" s="6">
        <v>40</v>
      </c>
      <c r="K62" s="6">
        <v>25</v>
      </c>
      <c r="L62" s="6">
        <f>(J62-K62)*0.7</f>
        <v>10.5</v>
      </c>
    </row>
    <row r="63" spans="1:14">
      <c r="A63" s="2" t="s">
        <v>99</v>
      </c>
      <c r="B63" s="35">
        <v>44084</v>
      </c>
      <c r="C63" s="35">
        <v>44105</v>
      </c>
      <c r="D63" s="5" t="s">
        <v>160</v>
      </c>
      <c r="E63" s="49">
        <v>5</v>
      </c>
      <c r="F63" s="5">
        <v>12.24</v>
      </c>
      <c r="G63" s="5">
        <f>25/30*20</f>
        <v>16.666666666666668</v>
      </c>
      <c r="H63" s="5"/>
      <c r="I63" s="5"/>
      <c r="J63" s="43">
        <v>40</v>
      </c>
      <c r="K63" s="6">
        <v>22</v>
      </c>
      <c r="L63" s="6">
        <f>5+13*0.7</f>
        <v>14.1</v>
      </c>
      <c r="N63" s="41"/>
    </row>
    <row r="64" spans="1:14">
      <c r="A64" s="2" t="s">
        <v>102</v>
      </c>
      <c r="B64" s="4" t="s">
        <v>103</v>
      </c>
      <c r="C64" s="4">
        <v>44110</v>
      </c>
      <c r="D64" s="5" t="s">
        <v>160</v>
      </c>
      <c r="E64" s="49">
        <v>10</v>
      </c>
      <c r="F64" s="5">
        <v>36.65</v>
      </c>
      <c r="G64" s="5">
        <f>115/30*26</f>
        <v>99.666666666666671</v>
      </c>
      <c r="H64" s="5"/>
      <c r="I64" s="5"/>
      <c r="J64" s="6">
        <v>180</v>
      </c>
      <c r="K64" s="6">
        <v>115</v>
      </c>
      <c r="L64" s="6">
        <f>10+55*0.7</f>
        <v>48.5</v>
      </c>
      <c r="N64" s="41"/>
    </row>
    <row r="65" spans="1:13">
      <c r="A65" s="2" t="s">
        <v>94</v>
      </c>
      <c r="B65" s="35">
        <v>44124</v>
      </c>
      <c r="C65" s="35">
        <v>44124</v>
      </c>
      <c r="D65" s="5"/>
      <c r="E65" s="49"/>
      <c r="F65" s="5">
        <v>7.25</v>
      </c>
      <c r="G65" s="5">
        <v>0</v>
      </c>
      <c r="H65" s="5"/>
      <c r="I65" s="5"/>
      <c r="J65" s="6">
        <v>25</v>
      </c>
      <c r="K65" s="6">
        <v>11</v>
      </c>
      <c r="L65" s="6">
        <f>(J65-K65)*0.7</f>
        <v>9.7999999999999989</v>
      </c>
    </row>
    <row r="66" spans="1:13">
      <c r="A66" s="2" t="s">
        <v>100</v>
      </c>
      <c r="B66" s="4">
        <v>44018</v>
      </c>
      <c r="C66" s="4">
        <v>44124</v>
      </c>
      <c r="D66" s="40"/>
      <c r="E66" s="2"/>
      <c r="F66" s="5">
        <v>9.5</v>
      </c>
      <c r="G66" s="5">
        <f>25/30*104</f>
        <v>86.666666666666671</v>
      </c>
      <c r="H66" s="5"/>
      <c r="I66" s="5"/>
      <c r="J66" s="6">
        <v>70</v>
      </c>
      <c r="K66" s="6">
        <v>25</v>
      </c>
      <c r="L66" s="6">
        <f>(J66-K66)*0.7</f>
        <v>31.499999999999996</v>
      </c>
    </row>
    <row r="67" spans="1:13">
      <c r="A67" s="2" t="s">
        <v>101</v>
      </c>
      <c r="B67" s="4">
        <v>44070</v>
      </c>
      <c r="C67" s="4">
        <v>44131</v>
      </c>
      <c r="D67" s="40"/>
      <c r="E67" s="2"/>
      <c r="F67" s="5">
        <v>13.93</v>
      </c>
      <c r="G67" s="5">
        <f>71/30*60</f>
        <v>142</v>
      </c>
      <c r="H67" s="5"/>
      <c r="I67" s="5"/>
      <c r="J67" s="6">
        <v>120</v>
      </c>
      <c r="K67" s="6">
        <f>60+11</f>
        <v>71</v>
      </c>
      <c r="L67" s="6">
        <f>(J67-K67)*0.7</f>
        <v>34.299999999999997</v>
      </c>
    </row>
    <row r="68" spans="1:13">
      <c r="A68" s="22" t="s">
        <v>104</v>
      </c>
      <c r="B68" s="4">
        <v>44159</v>
      </c>
      <c r="C68" s="4">
        <v>44187</v>
      </c>
      <c r="D68" s="40"/>
      <c r="E68" s="2"/>
      <c r="F68" s="5">
        <v>13.93</v>
      </c>
      <c r="G68" s="5">
        <f>36/30*28</f>
        <v>33.6</v>
      </c>
      <c r="H68" s="5"/>
      <c r="I68" s="5"/>
      <c r="J68" s="6">
        <v>110</v>
      </c>
      <c r="K68" s="6">
        <f>25+11</f>
        <v>36</v>
      </c>
      <c r="L68" s="6">
        <f>(J68-K68)*0.7</f>
        <v>51.8</v>
      </c>
    </row>
    <row r="69" spans="1:13">
      <c r="A69" s="39" t="s">
        <v>120</v>
      </c>
      <c r="B69" s="15">
        <v>44169</v>
      </c>
      <c r="C69" s="15">
        <v>44208</v>
      </c>
      <c r="D69" s="5" t="s">
        <v>160</v>
      </c>
      <c r="E69" s="34">
        <v>10</v>
      </c>
      <c r="F69" s="37"/>
      <c r="G69" s="5">
        <f>41/30*38</f>
        <v>51.933333333333337</v>
      </c>
      <c r="H69" s="5"/>
      <c r="I69" s="5"/>
      <c r="J69" s="17">
        <v>70</v>
      </c>
      <c r="K69" s="26">
        <v>45</v>
      </c>
      <c r="L69" s="37">
        <f>10+(60-45)*0.7</f>
        <v>20.5</v>
      </c>
      <c r="M69" s="1" t="s">
        <v>145</v>
      </c>
    </row>
    <row r="70" spans="1:13">
      <c r="A70" s="22" t="s">
        <v>108</v>
      </c>
      <c r="B70" s="4">
        <v>44185</v>
      </c>
      <c r="C70" s="4">
        <v>44242</v>
      </c>
      <c r="D70" s="5" t="s">
        <v>160</v>
      </c>
      <c r="E70" s="49">
        <v>20</v>
      </c>
      <c r="F70" s="5">
        <v>26.48</v>
      </c>
      <c r="G70" s="5">
        <f>50/30*55</f>
        <v>91.666666666666671</v>
      </c>
      <c r="H70" s="5">
        <v>160</v>
      </c>
      <c r="I70" s="5"/>
      <c r="J70" s="6">
        <v>190</v>
      </c>
      <c r="K70" s="6">
        <v>61</v>
      </c>
      <c r="L70" s="5">
        <f>(20+(170-61)*0.7)</f>
        <v>96.3</v>
      </c>
      <c r="M70" s="1" t="s">
        <v>145</v>
      </c>
    </row>
    <row r="71" spans="1:13">
      <c r="A71" s="22" t="s">
        <v>109</v>
      </c>
      <c r="B71" s="4">
        <v>44209</v>
      </c>
      <c r="C71" s="4">
        <v>44250</v>
      </c>
      <c r="D71" s="5" t="s">
        <v>160</v>
      </c>
      <c r="E71" s="49">
        <v>22.5</v>
      </c>
      <c r="F71" s="5">
        <v>22.83</v>
      </c>
      <c r="G71" s="5">
        <f>100/30*40</f>
        <v>133.33333333333334</v>
      </c>
      <c r="H71" s="5">
        <v>125</v>
      </c>
      <c r="I71" s="5"/>
      <c r="J71" s="6">
        <v>210</v>
      </c>
      <c r="K71" s="6">
        <v>100</v>
      </c>
      <c r="L71" s="6">
        <f>(22.5+87.5*0.7)</f>
        <v>83.75</v>
      </c>
    </row>
    <row r="72" spans="1:13">
      <c r="A72" s="2" t="s">
        <v>113</v>
      </c>
      <c r="B72" s="4">
        <v>44245</v>
      </c>
      <c r="C72" s="4">
        <v>44271</v>
      </c>
      <c r="D72" s="5" t="s">
        <v>160</v>
      </c>
      <c r="E72" s="49">
        <v>15</v>
      </c>
      <c r="F72" s="5">
        <v>26.76</v>
      </c>
      <c r="G72" s="5">
        <f>67/30*28</f>
        <v>62.533333333333331</v>
      </c>
      <c r="H72" s="5"/>
      <c r="I72" s="5"/>
      <c r="J72" s="6">
        <v>140</v>
      </c>
      <c r="K72" s="6">
        <v>67</v>
      </c>
      <c r="L72" s="6">
        <f>(15+0.7*58)</f>
        <v>55.599999999999994</v>
      </c>
    </row>
    <row r="73" spans="1:13">
      <c r="A73" s="2" t="s">
        <v>114</v>
      </c>
      <c r="B73" s="4">
        <v>44222</v>
      </c>
      <c r="C73" s="4">
        <v>44279</v>
      </c>
      <c r="D73" s="5" t="s">
        <v>160</v>
      </c>
      <c r="E73" s="49">
        <v>12.5</v>
      </c>
      <c r="F73" s="5">
        <v>13.4</v>
      </c>
      <c r="G73" s="5">
        <f>56/30*58</f>
        <v>108.26666666666667</v>
      </c>
      <c r="H73" s="5">
        <v>100</v>
      </c>
      <c r="I73" s="5"/>
      <c r="J73" s="6">
        <v>140</v>
      </c>
      <c r="K73" s="6">
        <v>56</v>
      </c>
      <c r="L73" s="5">
        <f>(12.5+71.5*0.7)</f>
        <v>62.55</v>
      </c>
      <c r="M73" s="1" t="s">
        <v>145</v>
      </c>
    </row>
    <row r="74" spans="1:13">
      <c r="A74" s="2" t="s">
        <v>112</v>
      </c>
      <c r="B74" s="4">
        <v>44270</v>
      </c>
      <c r="C74" s="4">
        <v>44286</v>
      </c>
      <c r="D74" s="5" t="s">
        <v>160</v>
      </c>
      <c r="E74" s="49">
        <v>17.5</v>
      </c>
      <c r="F74" s="5">
        <v>31.96</v>
      </c>
      <c r="G74" s="5">
        <f>55/30*16</f>
        <v>29.333333333333332</v>
      </c>
      <c r="H74" s="5">
        <v>75</v>
      </c>
      <c r="I74" s="5"/>
      <c r="J74" s="6">
        <v>100</v>
      </c>
      <c r="K74" s="6">
        <v>55</v>
      </c>
      <c r="L74" s="6">
        <f>(17.5+27.5*0.7)</f>
        <v>36.75</v>
      </c>
    </row>
    <row r="75" spans="1:13">
      <c r="A75" s="2" t="s">
        <v>119</v>
      </c>
      <c r="B75" s="4">
        <v>44281</v>
      </c>
      <c r="C75" s="4">
        <v>44316</v>
      </c>
      <c r="D75" s="40"/>
      <c r="E75" s="2"/>
      <c r="F75" s="5">
        <v>14.26</v>
      </c>
      <c r="G75" s="5">
        <f>45/30*34</f>
        <v>51</v>
      </c>
      <c r="H75" s="5"/>
      <c r="I75" s="5"/>
      <c r="J75" s="6">
        <v>110</v>
      </c>
      <c r="K75" s="6">
        <v>45</v>
      </c>
      <c r="L75" s="6">
        <f>(65*0.7)</f>
        <v>45.5</v>
      </c>
    </row>
    <row r="76" spans="1:13">
      <c r="A76" s="22" t="s">
        <v>121</v>
      </c>
      <c r="B76" s="4">
        <v>44316</v>
      </c>
      <c r="C76" s="4">
        <v>44354</v>
      </c>
      <c r="D76" s="40"/>
      <c r="E76" s="2"/>
      <c r="F76" s="5">
        <v>15.15</v>
      </c>
      <c r="G76" s="5">
        <f>36/30*37</f>
        <v>44.4</v>
      </c>
      <c r="H76" s="5"/>
      <c r="I76" s="5"/>
      <c r="J76" s="6">
        <v>110</v>
      </c>
      <c r="K76" s="6">
        <v>36</v>
      </c>
      <c r="L76" s="5">
        <f>(J76-K76)*0.7</f>
        <v>51.8</v>
      </c>
      <c r="M76" s="1" t="s">
        <v>145</v>
      </c>
    </row>
    <row r="77" spans="1:13">
      <c r="A77" s="22" t="s">
        <v>126</v>
      </c>
      <c r="B77" s="4">
        <v>44336</v>
      </c>
      <c r="C77" s="4">
        <v>44370</v>
      </c>
      <c r="D77" s="5" t="s">
        <v>161</v>
      </c>
      <c r="E77" s="49">
        <v>17.5</v>
      </c>
      <c r="F77" s="5">
        <v>35.78</v>
      </c>
      <c r="G77" s="5">
        <f>58/30*33</f>
        <v>63.8</v>
      </c>
      <c r="H77" s="5">
        <v>50</v>
      </c>
      <c r="I77" s="5"/>
      <c r="J77" s="6">
        <v>150</v>
      </c>
      <c r="K77" s="6">
        <v>58</v>
      </c>
      <c r="L77" s="6">
        <f>(17.5+74.5*0.7)</f>
        <v>69.650000000000006</v>
      </c>
    </row>
    <row r="78" spans="1:13">
      <c r="A78" s="44" t="s">
        <v>125</v>
      </c>
      <c r="B78" s="4">
        <v>44342</v>
      </c>
      <c r="C78" s="4">
        <v>44386</v>
      </c>
      <c r="D78" s="5" t="s">
        <v>160</v>
      </c>
      <c r="E78" s="49">
        <v>12.5</v>
      </c>
      <c r="F78" s="5">
        <v>15.46</v>
      </c>
      <c r="G78" s="5">
        <f>36/30*43</f>
        <v>51.6</v>
      </c>
      <c r="H78" s="5">
        <f>50+45</f>
        <v>95</v>
      </c>
      <c r="I78" s="5"/>
      <c r="J78" s="6">
        <v>110</v>
      </c>
      <c r="K78" s="6">
        <v>36</v>
      </c>
      <c r="L78" s="6">
        <f>(12.5+(97.5-36)*0.7)</f>
        <v>55.55</v>
      </c>
    </row>
    <row r="79" spans="1:13">
      <c r="A79" s="44" t="s">
        <v>129</v>
      </c>
      <c r="B79" s="4">
        <v>44348</v>
      </c>
      <c r="C79" s="4">
        <v>44389</v>
      </c>
      <c r="D79" s="5" t="s">
        <v>160</v>
      </c>
      <c r="E79" s="49">
        <v>12.5</v>
      </c>
      <c r="F79" s="5">
        <v>26.22</v>
      </c>
      <c r="G79" s="5">
        <f>71/30*42</f>
        <v>99.4</v>
      </c>
      <c r="H79" s="5">
        <f>50+45</f>
        <v>95</v>
      </c>
      <c r="I79" s="5"/>
      <c r="J79" s="6">
        <v>140</v>
      </c>
      <c r="K79" s="6">
        <v>71</v>
      </c>
      <c r="L79" s="6">
        <f>(12.5+(127.5-71)*0.7)</f>
        <v>52.05</v>
      </c>
    </row>
    <row r="80" spans="1:13">
      <c r="A80" s="44" t="s">
        <v>124</v>
      </c>
      <c r="B80" s="4">
        <v>44348</v>
      </c>
      <c r="C80" s="4">
        <v>44389</v>
      </c>
      <c r="D80" s="40"/>
      <c r="E80" s="2"/>
      <c r="F80" s="5">
        <v>11.62</v>
      </c>
      <c r="G80" s="5">
        <f>26/30*42</f>
        <v>36.4</v>
      </c>
      <c r="H80" s="5">
        <v>65</v>
      </c>
      <c r="I80" s="5"/>
      <c r="J80" s="6">
        <v>70</v>
      </c>
      <c r="K80" s="6">
        <v>26</v>
      </c>
      <c r="L80" s="6">
        <f>(70-26)*0.7</f>
        <v>30.799999999999997</v>
      </c>
    </row>
    <row r="81" spans="1:12">
      <c r="A81" s="44" t="s">
        <v>132</v>
      </c>
      <c r="B81" s="4">
        <v>44407</v>
      </c>
      <c r="C81" s="4">
        <v>44461</v>
      </c>
      <c r="D81" s="40"/>
      <c r="E81" s="2"/>
      <c r="F81" s="5">
        <v>9.8800000000000008</v>
      </c>
      <c r="G81" s="5">
        <f>25/30*52</f>
        <v>43.333333333333336</v>
      </c>
      <c r="H81" s="5"/>
      <c r="I81" s="5"/>
      <c r="J81" s="6">
        <v>70</v>
      </c>
      <c r="K81" s="6">
        <v>25</v>
      </c>
      <c r="L81" s="6">
        <f>45*0.7</f>
        <v>31.499999999999996</v>
      </c>
    </row>
    <row r="82" spans="1:12">
      <c r="A82" s="44" t="s">
        <v>133</v>
      </c>
      <c r="B82" s="4">
        <v>44432</v>
      </c>
      <c r="C82" s="4">
        <v>44467</v>
      </c>
      <c r="D82" s="40"/>
      <c r="E82" s="2"/>
      <c r="F82" s="5">
        <v>9.8800000000000008</v>
      </c>
      <c r="G82" s="5">
        <f>25/30*34</f>
        <v>28.333333333333336</v>
      </c>
      <c r="H82" s="5"/>
      <c r="I82" s="5"/>
      <c r="J82" s="6">
        <v>70</v>
      </c>
      <c r="K82" s="6">
        <v>25</v>
      </c>
      <c r="L82" s="6">
        <f>45*0.7</f>
        <v>31.499999999999996</v>
      </c>
    </row>
    <row r="83" spans="1:12">
      <c r="A83" s="44" t="s">
        <v>135</v>
      </c>
      <c r="B83" s="35">
        <v>44460</v>
      </c>
      <c r="C83" s="35">
        <v>44475</v>
      </c>
      <c r="D83" s="40"/>
      <c r="E83" s="2"/>
      <c r="F83" s="5">
        <v>19.760000000000002</v>
      </c>
      <c r="G83" s="5">
        <f>43/30*15</f>
        <v>21.5</v>
      </c>
      <c r="H83" s="5">
        <v>65</v>
      </c>
      <c r="I83" s="5"/>
      <c r="J83" s="6">
        <v>90</v>
      </c>
      <c r="K83" s="6">
        <v>43</v>
      </c>
      <c r="L83" s="6">
        <f>(J83-K83)*0.7</f>
        <v>32.9</v>
      </c>
    </row>
    <row r="84" spans="1:12">
      <c r="A84" s="44" t="s">
        <v>141</v>
      </c>
      <c r="B84" s="35">
        <v>44459</v>
      </c>
      <c r="C84" s="35">
        <v>44481</v>
      </c>
      <c r="D84" s="10" t="s">
        <v>161</v>
      </c>
      <c r="E84" s="12">
        <v>10</v>
      </c>
      <c r="F84" s="5">
        <v>15.15</v>
      </c>
      <c r="G84" s="5">
        <f>46/30*22</f>
        <v>33.733333333333334</v>
      </c>
      <c r="H84" s="5">
        <v>80</v>
      </c>
      <c r="I84" s="5"/>
      <c r="J84" s="6">
        <v>120</v>
      </c>
      <c r="K84" s="6">
        <v>46</v>
      </c>
      <c r="L84" s="6">
        <f>10+(120-56)*0.7</f>
        <v>54.8</v>
      </c>
    </row>
    <row r="85" spans="1:12">
      <c r="A85" s="44" t="s">
        <v>140</v>
      </c>
      <c r="B85" s="35">
        <v>44449</v>
      </c>
      <c r="C85" s="35">
        <v>44482</v>
      </c>
      <c r="D85" s="5" t="s">
        <v>160</v>
      </c>
      <c r="E85" s="49">
        <v>10</v>
      </c>
      <c r="F85" s="5">
        <v>13.4</v>
      </c>
      <c r="G85" s="5">
        <f>60/30*33</f>
        <v>66</v>
      </c>
      <c r="H85" s="5">
        <v>80</v>
      </c>
      <c r="I85" s="5"/>
      <c r="J85" s="6">
        <v>120</v>
      </c>
      <c r="K85" s="6">
        <v>61</v>
      </c>
      <c r="L85" s="6">
        <f>(10+49*0.7)</f>
        <v>44.3</v>
      </c>
    </row>
    <row r="86" spans="1:12">
      <c r="A86" s="44" t="s">
        <v>137</v>
      </c>
      <c r="B86" s="35">
        <v>44474</v>
      </c>
      <c r="C86" s="35">
        <v>44487</v>
      </c>
      <c r="D86" s="10" t="s">
        <v>161</v>
      </c>
      <c r="E86" s="12">
        <v>12.5</v>
      </c>
      <c r="F86" s="5">
        <v>15.15</v>
      </c>
      <c r="G86" s="5">
        <f>71/30*13</f>
        <v>30.766666666666666</v>
      </c>
      <c r="H86" s="5">
        <v>95</v>
      </c>
      <c r="I86" s="5"/>
      <c r="J86" s="6">
        <v>140</v>
      </c>
      <c r="K86" s="6">
        <v>71</v>
      </c>
      <c r="L86" s="6">
        <f>12.5+(56.5)*0.7</f>
        <v>52.05</v>
      </c>
    </row>
    <row r="87" spans="1:12">
      <c r="A87" s="44" t="s">
        <v>143</v>
      </c>
      <c r="B87" s="35">
        <v>43717</v>
      </c>
      <c r="C87" s="35">
        <v>44505</v>
      </c>
      <c r="D87" s="40"/>
      <c r="E87" s="49"/>
      <c r="F87" s="5">
        <v>13.4</v>
      </c>
      <c r="G87" s="5">
        <f>36*25+36/30*26</f>
        <v>931.2</v>
      </c>
      <c r="H87" s="5"/>
      <c r="I87" s="5"/>
      <c r="J87" s="6">
        <v>110</v>
      </c>
      <c r="K87" s="6">
        <v>36</v>
      </c>
      <c r="L87" s="6">
        <f>(110-36)*0.7</f>
        <v>51.8</v>
      </c>
    </row>
    <row r="88" spans="1:12">
      <c r="A88" s="44" t="s">
        <v>139</v>
      </c>
      <c r="B88" s="35">
        <v>44492</v>
      </c>
      <c r="C88" s="35">
        <v>44539</v>
      </c>
      <c r="D88" s="40"/>
      <c r="E88" s="49"/>
      <c r="F88" s="5">
        <v>16.350000000000001</v>
      </c>
      <c r="G88" s="5">
        <f>71/30*46</f>
        <v>108.86666666666667</v>
      </c>
      <c r="H88" s="5">
        <v>95</v>
      </c>
      <c r="I88" s="5"/>
      <c r="J88" s="6">
        <v>140</v>
      </c>
      <c r="K88" s="6">
        <v>71</v>
      </c>
      <c r="L88" s="6">
        <f>(140-71)*0.7/30*21</f>
        <v>33.809999999999995</v>
      </c>
    </row>
    <row r="89" spans="1:12">
      <c r="A89" s="44" t="s">
        <v>144</v>
      </c>
      <c r="B89" s="35">
        <v>44526</v>
      </c>
      <c r="C89" s="35">
        <v>44550</v>
      </c>
      <c r="D89" s="5" t="s">
        <v>160</v>
      </c>
      <c r="E89" s="49">
        <v>12.5</v>
      </c>
      <c r="F89" s="5">
        <v>13.4</v>
      </c>
      <c r="G89" s="5">
        <f>83/30*24</f>
        <v>66.400000000000006</v>
      </c>
      <c r="H89" s="5"/>
      <c r="I89" s="5"/>
      <c r="J89" s="6">
        <v>160</v>
      </c>
      <c r="K89" s="6">
        <v>94</v>
      </c>
      <c r="L89" s="6">
        <f>15+(160-15-94)*0.7/30*10</f>
        <v>26.9</v>
      </c>
    </row>
    <row r="90" spans="1:12">
      <c r="A90" s="44" t="s">
        <v>149</v>
      </c>
      <c r="B90" s="35">
        <v>44880</v>
      </c>
      <c r="C90" s="35">
        <v>44575</v>
      </c>
      <c r="D90" s="40"/>
      <c r="E90" s="49"/>
      <c r="F90" s="5">
        <v>13.4</v>
      </c>
      <c r="G90" s="5"/>
      <c r="H90" s="5">
        <v>50</v>
      </c>
      <c r="I90" s="5"/>
      <c r="J90" s="6">
        <v>140</v>
      </c>
      <c r="K90" s="6">
        <f>71</f>
        <v>71</v>
      </c>
      <c r="L90" s="6">
        <f>(140-71)*0.7</f>
        <v>48.3</v>
      </c>
    </row>
    <row r="91" spans="1:12">
      <c r="A91" s="44" t="s">
        <v>146</v>
      </c>
      <c r="B91" s="4">
        <v>44586</v>
      </c>
      <c r="C91" s="4">
        <v>44615</v>
      </c>
      <c r="D91" s="10" t="s">
        <v>161</v>
      </c>
      <c r="E91" s="12">
        <v>12.5</v>
      </c>
      <c r="F91" s="5">
        <v>15.46</v>
      </c>
      <c r="G91" s="5">
        <f>27/30*28</f>
        <v>25.2</v>
      </c>
      <c r="H91" s="5">
        <v>110</v>
      </c>
      <c r="I91" s="5"/>
      <c r="J91" s="6">
        <v>124</v>
      </c>
      <c r="K91" s="6">
        <v>51</v>
      </c>
      <c r="L91" s="6">
        <f>12.5+(124-63.5)*0.7</f>
        <v>54.849999999999994</v>
      </c>
    </row>
    <row r="92" spans="1:12">
      <c r="A92" s="44" t="s">
        <v>148</v>
      </c>
      <c r="B92" s="4">
        <v>44579</v>
      </c>
      <c r="C92" s="4">
        <v>44594</v>
      </c>
      <c r="D92" s="40"/>
      <c r="E92" s="49"/>
      <c r="F92" s="5">
        <v>13.4</v>
      </c>
      <c r="G92" s="5">
        <f>22/30*14</f>
        <v>10.266666666666666</v>
      </c>
      <c r="H92" s="5">
        <v>30</v>
      </c>
      <c r="I92" s="5"/>
      <c r="J92" s="6">
        <v>50</v>
      </c>
      <c r="K92" s="6">
        <v>22</v>
      </c>
      <c r="L92" s="6">
        <f>(50-22)*0.7</f>
        <v>19.599999999999998</v>
      </c>
    </row>
    <row r="93" spans="1:12">
      <c r="A93" s="44" t="s">
        <v>150</v>
      </c>
      <c r="B93" s="4">
        <v>44899</v>
      </c>
      <c r="C93" s="4">
        <v>44607</v>
      </c>
      <c r="D93" s="12" t="s">
        <v>160</v>
      </c>
      <c r="E93" s="12">
        <v>12.5</v>
      </c>
      <c r="F93" s="5">
        <v>13.4</v>
      </c>
      <c r="G93" s="5">
        <f>71/30*61</f>
        <v>144.36666666666667</v>
      </c>
      <c r="H93" s="5">
        <v>80</v>
      </c>
      <c r="I93" s="5"/>
      <c r="J93" s="6">
        <v>120</v>
      </c>
      <c r="K93" s="6">
        <v>60</v>
      </c>
      <c r="L93" s="6">
        <f>12.5+(120-72.5)*0.7</f>
        <v>45.75</v>
      </c>
    </row>
    <row r="94" spans="1:12">
      <c r="A94" s="44" t="s">
        <v>151</v>
      </c>
      <c r="B94" s="4">
        <v>44926</v>
      </c>
      <c r="C94" s="4">
        <v>44649</v>
      </c>
      <c r="D94" s="40"/>
      <c r="E94" s="40"/>
      <c r="F94" s="5">
        <v>9.0299999999999994</v>
      </c>
      <c r="G94" s="5">
        <f>25*2+25/30*29</f>
        <v>74.166666666666671</v>
      </c>
      <c r="H94" s="5">
        <v>80</v>
      </c>
      <c r="I94" s="5"/>
      <c r="J94" s="6">
        <v>67.5</v>
      </c>
      <c r="K94" s="6">
        <v>25</v>
      </c>
      <c r="L94" s="6">
        <f>(67.5-25)*0.7</f>
        <v>29.749999999999996</v>
      </c>
    </row>
    <row r="95" spans="1:12">
      <c r="A95" s="44" t="s">
        <v>152</v>
      </c>
      <c r="B95" s="4">
        <v>44852</v>
      </c>
      <c r="C95" s="4">
        <v>44649</v>
      </c>
      <c r="D95" s="40"/>
      <c r="E95" s="40"/>
      <c r="F95" s="5">
        <v>9.0299999999999994</v>
      </c>
      <c r="G95" s="5">
        <f>45*4+45/30*13</f>
        <v>199.5</v>
      </c>
      <c r="H95" s="5">
        <v>80</v>
      </c>
      <c r="I95" s="5"/>
      <c r="J95" s="6">
        <v>67.5</v>
      </c>
      <c r="K95" s="6">
        <v>45</v>
      </c>
      <c r="L95" s="6">
        <f>(J95-K95)*0.7</f>
        <v>15.749999999999998</v>
      </c>
    </row>
    <row r="96" spans="1:12">
      <c r="A96" s="44" t="s">
        <v>153</v>
      </c>
      <c r="B96" s="4">
        <v>44623</v>
      </c>
      <c r="C96" s="4">
        <v>44623</v>
      </c>
      <c r="D96" s="40"/>
      <c r="E96" s="40"/>
      <c r="F96" s="5">
        <v>11.03</v>
      </c>
      <c r="G96" s="5">
        <v>0</v>
      </c>
      <c r="H96" s="5">
        <v>15</v>
      </c>
      <c r="I96" s="5"/>
      <c r="J96" s="6">
        <v>30</v>
      </c>
      <c r="K96" s="6">
        <v>12</v>
      </c>
      <c r="L96" s="6">
        <f>(J96-K96)*0.7</f>
        <v>12.6</v>
      </c>
    </row>
    <row r="97" spans="1:12">
      <c r="A97" s="44" t="s">
        <v>154</v>
      </c>
      <c r="B97" s="4">
        <v>44881</v>
      </c>
      <c r="C97" s="4">
        <v>44628</v>
      </c>
      <c r="D97" s="40"/>
      <c r="E97" s="40"/>
      <c r="F97" s="5">
        <v>9.0299999999999994</v>
      </c>
      <c r="G97" s="5">
        <f>65*3+65/30*22</f>
        <v>242.66666666666666</v>
      </c>
      <c r="H97" s="5">
        <v>95</v>
      </c>
      <c r="I97" s="5"/>
      <c r="J97" s="6">
        <v>112</v>
      </c>
      <c r="K97" s="6">
        <v>65</v>
      </c>
      <c r="L97" s="6">
        <f>(J97-K97)*0.7</f>
        <v>32.9</v>
      </c>
    </row>
    <row r="98" spans="1:12">
      <c r="A98" s="44" t="s">
        <v>155</v>
      </c>
      <c r="B98" s="4">
        <v>44490</v>
      </c>
      <c r="C98" s="4">
        <v>44648</v>
      </c>
      <c r="D98" s="40"/>
      <c r="E98" s="40"/>
      <c r="F98" s="5">
        <v>13.4</v>
      </c>
      <c r="G98" s="5">
        <f>45*5+45/30*7</f>
        <v>235.5</v>
      </c>
      <c r="H98" s="5">
        <v>80</v>
      </c>
      <c r="I98" s="5"/>
      <c r="J98" s="6">
        <v>67.5</v>
      </c>
      <c r="K98" s="6">
        <v>45</v>
      </c>
      <c r="L98" s="6">
        <f>(J98-K98)*0.7</f>
        <v>15.749999999999998</v>
      </c>
    </row>
    <row r="99" spans="1:12">
      <c r="A99" s="52" t="s">
        <v>156</v>
      </c>
      <c r="B99" s="24">
        <v>44489</v>
      </c>
      <c r="C99" s="24">
        <v>44651</v>
      </c>
      <c r="D99" s="48"/>
      <c r="E99" s="48"/>
      <c r="F99" s="25">
        <v>15.46</v>
      </c>
      <c r="G99" s="25">
        <f>50*5+50/10</f>
        <v>255</v>
      </c>
      <c r="H99" s="25">
        <v>145</v>
      </c>
      <c r="I99" s="25"/>
      <c r="J99" s="27">
        <v>125</v>
      </c>
      <c r="K99" s="27">
        <v>50</v>
      </c>
      <c r="L99" s="27">
        <f>(J99-K99)*0.7</f>
        <v>52.5</v>
      </c>
    </row>
    <row r="100" spans="1:12">
      <c r="A100" s="52" t="s">
        <v>157</v>
      </c>
      <c r="B100" s="24">
        <v>44627</v>
      </c>
      <c r="C100" s="24">
        <v>44627</v>
      </c>
      <c r="D100" s="10" t="s">
        <v>161</v>
      </c>
      <c r="E100" s="12">
        <v>10</v>
      </c>
      <c r="F100" s="25">
        <v>15.46</v>
      </c>
      <c r="G100" s="25">
        <v>0</v>
      </c>
      <c r="H100" s="25">
        <v>0</v>
      </c>
      <c r="I100" s="25"/>
      <c r="J100" s="27">
        <v>100</v>
      </c>
      <c r="K100" s="27">
        <v>44</v>
      </c>
      <c r="L100" s="27">
        <f>10+(46)*0.7</f>
        <v>42.199999999999996</v>
      </c>
    </row>
    <row r="101" spans="1:12">
      <c r="A101" s="52" t="s">
        <v>158</v>
      </c>
      <c r="B101" s="4">
        <v>44627</v>
      </c>
      <c r="C101" s="4">
        <v>44627</v>
      </c>
      <c r="D101" s="10" t="s">
        <v>161</v>
      </c>
      <c r="E101" s="12">
        <v>12.5</v>
      </c>
      <c r="F101" s="5">
        <v>15.46</v>
      </c>
      <c r="G101" s="5">
        <v>0</v>
      </c>
      <c r="H101" s="5">
        <v>0</v>
      </c>
      <c r="I101" s="5"/>
      <c r="J101" s="6">
        <v>125</v>
      </c>
      <c r="K101" s="6">
        <v>55</v>
      </c>
      <c r="L101" s="27">
        <f>12.5+(57.5)*0.7</f>
        <v>52.75</v>
      </c>
    </row>
    <row r="102" spans="1:12">
      <c r="A102" s="44" t="s">
        <v>168</v>
      </c>
      <c r="B102" s="4">
        <v>44636</v>
      </c>
      <c r="C102" s="4">
        <v>44659</v>
      </c>
      <c r="D102" s="40"/>
      <c r="E102" s="5"/>
      <c r="F102" s="5">
        <v>13.72</v>
      </c>
      <c r="G102" s="5">
        <f>55/30*24</f>
        <v>44</v>
      </c>
      <c r="H102" s="5">
        <v>80</v>
      </c>
      <c r="I102" s="5"/>
      <c r="J102" s="6">
        <v>120</v>
      </c>
      <c r="K102" s="6">
        <v>55</v>
      </c>
      <c r="L102" s="6">
        <f>10+(110-K102)*0.7</f>
        <v>48.5</v>
      </c>
    </row>
    <row r="103" spans="1:12">
      <c r="A103" s="28"/>
      <c r="B103" s="36"/>
      <c r="C103" s="36"/>
      <c r="D103" s="28"/>
      <c r="E103" s="28"/>
      <c r="F103" s="30"/>
      <c r="G103" s="28"/>
      <c r="H103" s="30"/>
      <c r="K103" s="47" t="s">
        <v>4</v>
      </c>
      <c r="L103" s="8">
        <f>SUM(L2:L102)</f>
        <v>3766.0100000000011</v>
      </c>
    </row>
    <row r="104" spans="1:12">
      <c r="A104" s="28"/>
      <c r="C104" s="15"/>
      <c r="D104" s="1"/>
      <c r="E104" s="1"/>
      <c r="F104" s="1"/>
      <c r="G104" s="1"/>
      <c r="H104" s="1"/>
      <c r="I104" s="1"/>
      <c r="J104" s="1"/>
      <c r="K104" s="29"/>
      <c r="L104" s="29"/>
    </row>
    <row r="106" spans="1:12">
      <c r="F106" s="30"/>
      <c r="J106" t="s">
        <v>163</v>
      </c>
    </row>
    <row r="107" spans="1:12">
      <c r="G107" s="42"/>
      <c r="J107" t="s">
        <v>165</v>
      </c>
      <c r="L107">
        <v>15</v>
      </c>
    </row>
  </sheetData>
  <autoFilter ref="A1:N1">
    <sortState ref="A2:M104">
      <sortCondition ref="C1"/>
    </sortState>
  </autoFilter>
  <pageMargins left="0.7" right="0.7" top="0.75" bottom="0.75" header="0.3" footer="0.3"/>
  <pageSetup paperSize="9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>
  <dimension ref="A1:N111"/>
  <sheetViews>
    <sheetView topLeftCell="A92" workbookViewId="0">
      <selection activeCell="D102" sqref="D102"/>
    </sheetView>
  </sheetViews>
  <sheetFormatPr baseColWidth="10" defaultRowHeight="15"/>
  <cols>
    <col min="1" max="1" width="26.5703125" customWidth="1"/>
    <col min="2" max="2" width="22.85546875" customWidth="1"/>
  </cols>
  <sheetData>
    <row r="1" spans="1:13" ht="60">
      <c r="A1" s="2"/>
      <c r="B1" s="3" t="s">
        <v>0</v>
      </c>
      <c r="C1" s="3" t="s">
        <v>1</v>
      </c>
      <c r="D1" s="3" t="s">
        <v>159</v>
      </c>
      <c r="E1" s="3" t="s">
        <v>162</v>
      </c>
      <c r="F1" s="3" t="s">
        <v>3</v>
      </c>
      <c r="G1" s="3" t="s">
        <v>11</v>
      </c>
      <c r="H1" s="3" t="s">
        <v>36</v>
      </c>
      <c r="I1" s="3" t="s">
        <v>12</v>
      </c>
      <c r="J1" s="3" t="s">
        <v>5</v>
      </c>
      <c r="K1" s="3" t="s">
        <v>7</v>
      </c>
      <c r="L1" s="3" t="s">
        <v>8</v>
      </c>
      <c r="M1" s="14" t="s">
        <v>35</v>
      </c>
    </row>
    <row r="2" spans="1:13">
      <c r="A2" s="2" t="s">
        <v>10</v>
      </c>
      <c r="B2" s="4">
        <v>41852</v>
      </c>
      <c r="C2" s="4">
        <v>41852</v>
      </c>
      <c r="D2" s="5"/>
      <c r="E2" s="49"/>
      <c r="F2" s="5">
        <v>10</v>
      </c>
      <c r="G2" s="5"/>
      <c r="H2" s="5"/>
      <c r="I2" s="5">
        <f>D2+F2+H2</f>
        <v>10</v>
      </c>
      <c r="J2" s="6">
        <v>40</v>
      </c>
      <c r="K2" s="6">
        <v>25</v>
      </c>
      <c r="L2" s="6">
        <f t="shared" ref="L2:L55" si="0">(J2-K2)*0.7</f>
        <v>10.5</v>
      </c>
    </row>
    <row r="3" spans="1:13">
      <c r="A3" s="2" t="s">
        <v>17</v>
      </c>
      <c r="B3" s="4"/>
      <c r="C3" s="4">
        <v>42209</v>
      </c>
      <c r="D3" s="5"/>
      <c r="E3" s="49"/>
      <c r="F3" s="5"/>
      <c r="G3" s="5"/>
      <c r="H3" s="5"/>
      <c r="I3" s="5"/>
      <c r="J3" s="6">
        <v>90</v>
      </c>
      <c r="K3" s="6">
        <v>25</v>
      </c>
      <c r="L3" s="6">
        <f t="shared" si="0"/>
        <v>45.5</v>
      </c>
    </row>
    <row r="4" spans="1:13">
      <c r="A4" s="2" t="s">
        <v>15</v>
      </c>
      <c r="B4" s="4">
        <v>42272</v>
      </c>
      <c r="C4" s="4">
        <v>42275</v>
      </c>
      <c r="D4" s="5">
        <v>50</v>
      </c>
      <c r="E4" s="49"/>
      <c r="F4" s="5"/>
      <c r="G4" s="5">
        <f>25/30*3</f>
        <v>2.5</v>
      </c>
      <c r="H4" s="5"/>
      <c r="I4" s="5">
        <f>D4+F4+H4</f>
        <v>50</v>
      </c>
      <c r="J4" s="6">
        <v>40</v>
      </c>
      <c r="K4" s="6">
        <v>25</v>
      </c>
      <c r="L4" s="6">
        <f t="shared" si="0"/>
        <v>10.5</v>
      </c>
    </row>
    <row r="5" spans="1:13">
      <c r="A5" s="2" t="s">
        <v>18</v>
      </c>
      <c r="B5" s="2"/>
      <c r="C5" s="4">
        <v>42335</v>
      </c>
      <c r="D5" s="5"/>
      <c r="E5" s="49"/>
      <c r="F5" s="5"/>
      <c r="G5" s="5"/>
      <c r="H5" s="5"/>
      <c r="I5" s="5"/>
      <c r="J5" s="6">
        <v>90</v>
      </c>
      <c r="K5" s="6">
        <v>25</v>
      </c>
      <c r="L5" s="6">
        <f t="shared" si="0"/>
        <v>45.5</v>
      </c>
    </row>
    <row r="6" spans="1:13">
      <c r="A6" s="2" t="s">
        <v>16</v>
      </c>
      <c r="B6" s="2"/>
      <c r="C6" s="4">
        <v>42396</v>
      </c>
      <c r="D6" s="5"/>
      <c r="E6" s="49"/>
      <c r="F6" s="5"/>
      <c r="G6" s="5"/>
      <c r="H6" s="5"/>
      <c r="I6" s="5"/>
      <c r="J6" s="6">
        <v>90</v>
      </c>
      <c r="K6" s="6">
        <v>25</v>
      </c>
      <c r="L6" s="6">
        <f t="shared" si="0"/>
        <v>45.5</v>
      </c>
    </row>
    <row r="7" spans="1:13">
      <c r="A7" s="2" t="s">
        <v>22</v>
      </c>
      <c r="B7" s="4">
        <v>42546</v>
      </c>
      <c r="C7" s="4">
        <v>42571</v>
      </c>
      <c r="D7" s="5"/>
      <c r="E7" s="49"/>
      <c r="F7" s="5">
        <f>6.9+8.5</f>
        <v>15.4</v>
      </c>
      <c r="G7" s="5">
        <f>25*25/30</f>
        <v>20.833333333333332</v>
      </c>
      <c r="H7" s="5"/>
      <c r="I7" s="5"/>
      <c r="J7" s="6">
        <v>120</v>
      </c>
      <c r="K7" s="6">
        <v>25</v>
      </c>
      <c r="L7" s="6">
        <f t="shared" si="0"/>
        <v>66.5</v>
      </c>
    </row>
    <row r="8" spans="1:13">
      <c r="A8" s="2" t="s">
        <v>23</v>
      </c>
      <c r="B8" s="4">
        <v>42560</v>
      </c>
      <c r="C8" s="4">
        <v>42571</v>
      </c>
      <c r="D8" s="5"/>
      <c r="E8" s="49"/>
      <c r="F8" s="5">
        <v>8.5</v>
      </c>
      <c r="G8" s="5">
        <f>25*41/30</f>
        <v>34.166666666666664</v>
      </c>
      <c r="H8" s="5"/>
      <c r="I8" s="5"/>
      <c r="J8" s="6">
        <v>107.5</v>
      </c>
      <c r="K8" s="6">
        <v>25</v>
      </c>
      <c r="L8" s="6">
        <f t="shared" si="0"/>
        <v>57.749999999999993</v>
      </c>
    </row>
    <row r="9" spans="1:13">
      <c r="A9" s="2" t="s">
        <v>24</v>
      </c>
      <c r="B9" s="4">
        <v>42530</v>
      </c>
      <c r="C9" s="4">
        <v>42579</v>
      </c>
      <c r="D9" s="5"/>
      <c r="E9" s="49"/>
      <c r="F9" s="5">
        <f>8.5+6.9</f>
        <v>15.4</v>
      </c>
      <c r="G9" s="5">
        <f>25*52/30</f>
        <v>43.333333333333336</v>
      </c>
      <c r="H9" s="5"/>
      <c r="I9" s="5"/>
      <c r="J9" s="6">
        <v>90</v>
      </c>
      <c r="K9" s="6">
        <v>25</v>
      </c>
      <c r="L9" s="6">
        <f t="shared" si="0"/>
        <v>45.5</v>
      </c>
    </row>
    <row r="10" spans="1:13">
      <c r="A10" s="2" t="s">
        <v>26</v>
      </c>
      <c r="B10" s="4">
        <v>42633</v>
      </c>
      <c r="C10" s="4">
        <v>42644</v>
      </c>
      <c r="D10" s="5"/>
      <c r="E10" s="49"/>
      <c r="F10" s="5">
        <v>8.17</v>
      </c>
      <c r="G10" s="5">
        <f>25/30*10</f>
        <v>8.3333333333333339</v>
      </c>
      <c r="H10" s="5"/>
      <c r="I10" s="5"/>
      <c r="J10" s="6">
        <v>70</v>
      </c>
      <c r="K10" s="6">
        <v>25</v>
      </c>
      <c r="L10" s="6">
        <f t="shared" si="0"/>
        <v>31.499999999999996</v>
      </c>
    </row>
    <row r="11" spans="1:13">
      <c r="A11" s="2" t="s">
        <v>27</v>
      </c>
      <c r="B11" s="4">
        <v>42656</v>
      </c>
      <c r="C11" s="4">
        <v>42705</v>
      </c>
      <c r="D11" s="5"/>
      <c r="E11" s="49"/>
      <c r="F11" s="5">
        <v>8.17</v>
      </c>
      <c r="G11" s="5">
        <f>K11/30*47</f>
        <v>39.166666666666671</v>
      </c>
      <c r="H11" s="5"/>
      <c r="I11" s="5"/>
      <c r="J11" s="6">
        <v>40</v>
      </c>
      <c r="K11" s="6">
        <v>25</v>
      </c>
      <c r="L11" s="6">
        <f t="shared" si="0"/>
        <v>10.5</v>
      </c>
    </row>
    <row r="12" spans="1:13">
      <c r="A12" s="2" t="s">
        <v>29</v>
      </c>
      <c r="B12" s="4">
        <v>42683</v>
      </c>
      <c r="C12" s="4">
        <v>42718</v>
      </c>
      <c r="D12" s="5"/>
      <c r="E12" s="49"/>
      <c r="F12" s="5">
        <v>8.9700000000000006</v>
      </c>
      <c r="G12" s="5">
        <f>K12/30*35</f>
        <v>42</v>
      </c>
      <c r="H12" s="5"/>
      <c r="I12" s="5"/>
      <c r="J12" s="6">
        <f>105</f>
        <v>105</v>
      </c>
      <c r="K12" s="6">
        <v>36</v>
      </c>
      <c r="L12" s="6">
        <f t="shared" si="0"/>
        <v>48.3</v>
      </c>
    </row>
    <row r="13" spans="1:13">
      <c r="A13" s="2" t="s">
        <v>28</v>
      </c>
      <c r="B13" s="4">
        <v>42711</v>
      </c>
      <c r="C13" s="4">
        <v>42734</v>
      </c>
      <c r="D13" s="5"/>
      <c r="E13" s="49"/>
      <c r="F13" s="5">
        <v>8.17</v>
      </c>
      <c r="G13" s="5">
        <f>K13/30*23</f>
        <v>19.166666666666668</v>
      </c>
      <c r="H13" s="5"/>
      <c r="I13" s="5"/>
      <c r="J13" s="6">
        <v>40</v>
      </c>
      <c r="K13" s="6">
        <v>25</v>
      </c>
      <c r="L13" s="6">
        <f t="shared" si="0"/>
        <v>10.5</v>
      </c>
    </row>
    <row r="14" spans="1:13">
      <c r="A14" s="2" t="s">
        <v>30</v>
      </c>
      <c r="B14" s="4">
        <v>42732</v>
      </c>
      <c r="C14" s="4">
        <v>42759</v>
      </c>
      <c r="D14" s="5"/>
      <c r="E14" s="49"/>
      <c r="F14" s="5">
        <v>18.8</v>
      </c>
      <c r="G14" s="5">
        <f>K14/30*27</f>
        <v>23.400000000000002</v>
      </c>
      <c r="H14" s="5"/>
      <c r="I14" s="5"/>
      <c r="J14" s="6">
        <v>90</v>
      </c>
      <c r="K14" s="6">
        <v>26</v>
      </c>
      <c r="L14" s="6">
        <f t="shared" si="0"/>
        <v>44.8</v>
      </c>
    </row>
    <row r="15" spans="1:13">
      <c r="A15" s="2" t="s">
        <v>31</v>
      </c>
      <c r="B15" s="4">
        <v>42735</v>
      </c>
      <c r="C15" s="4">
        <v>42782</v>
      </c>
      <c r="D15" s="5">
        <v>50</v>
      </c>
      <c r="E15" s="49"/>
      <c r="F15" s="5">
        <v>20.63</v>
      </c>
      <c r="G15" s="5">
        <f>K15/30*46</f>
        <v>42.933333333333337</v>
      </c>
      <c r="H15" s="5"/>
      <c r="I15" s="5"/>
      <c r="J15" s="6">
        <v>92</v>
      </c>
      <c r="K15" s="6">
        <v>28</v>
      </c>
      <c r="L15" s="6">
        <f t="shared" si="0"/>
        <v>44.8</v>
      </c>
    </row>
    <row r="16" spans="1:13">
      <c r="A16" s="2" t="s">
        <v>32</v>
      </c>
      <c r="B16" s="4">
        <v>42857</v>
      </c>
      <c r="C16" s="4">
        <v>42866</v>
      </c>
      <c r="D16" s="5"/>
      <c r="E16" s="49"/>
      <c r="F16" s="5"/>
      <c r="G16" s="5">
        <f>23/30*9</f>
        <v>6.9</v>
      </c>
      <c r="H16" s="5">
        <f>60*0.7</f>
        <v>42</v>
      </c>
      <c r="I16" s="5"/>
      <c r="J16" s="6">
        <v>60</v>
      </c>
      <c r="K16" s="6">
        <v>23</v>
      </c>
      <c r="L16" s="6">
        <f t="shared" si="0"/>
        <v>25.9</v>
      </c>
    </row>
    <row r="17" spans="1:13">
      <c r="A17" s="2" t="s">
        <v>37</v>
      </c>
      <c r="B17" s="4">
        <v>42891</v>
      </c>
      <c r="C17" s="4">
        <v>42915</v>
      </c>
      <c r="D17" s="5"/>
      <c r="E17" s="49"/>
      <c r="F17" s="5">
        <v>6.83</v>
      </c>
      <c r="G17" s="5">
        <f>24/30*24</f>
        <v>19.200000000000003</v>
      </c>
      <c r="H17" s="5"/>
      <c r="I17" s="5"/>
      <c r="J17" s="6">
        <v>70</v>
      </c>
      <c r="K17" s="6">
        <v>24</v>
      </c>
      <c r="L17" s="6">
        <f t="shared" si="0"/>
        <v>32.199999999999996</v>
      </c>
    </row>
    <row r="18" spans="1:13">
      <c r="A18" s="2" t="s">
        <v>39</v>
      </c>
      <c r="B18" s="4">
        <v>43081</v>
      </c>
      <c r="C18" s="4">
        <v>43109</v>
      </c>
      <c r="D18" s="5"/>
      <c r="E18" s="49"/>
      <c r="F18" s="5">
        <v>9.83</v>
      </c>
      <c r="G18" s="5">
        <f>36/30*28</f>
        <v>33.6</v>
      </c>
      <c r="H18" s="5"/>
      <c r="I18" s="5"/>
      <c r="J18" s="6">
        <v>120</v>
      </c>
      <c r="K18" s="6">
        <v>36</v>
      </c>
      <c r="L18" s="6">
        <f t="shared" si="0"/>
        <v>58.8</v>
      </c>
    </row>
    <row r="19" spans="1:13">
      <c r="A19" s="22" t="s">
        <v>56</v>
      </c>
      <c r="B19" s="4">
        <v>43361</v>
      </c>
      <c r="C19" s="4">
        <v>43132</v>
      </c>
      <c r="D19" s="5"/>
      <c r="E19" s="49"/>
      <c r="F19" s="5">
        <v>14.11</v>
      </c>
      <c r="G19" s="5">
        <f>25*4+25/30*12</f>
        <v>110</v>
      </c>
      <c r="H19" s="5"/>
      <c r="I19" s="5"/>
      <c r="J19" s="6">
        <v>75</v>
      </c>
      <c r="K19" s="6">
        <v>25</v>
      </c>
      <c r="L19" s="6">
        <f t="shared" si="0"/>
        <v>35</v>
      </c>
    </row>
    <row r="20" spans="1:13">
      <c r="A20" s="2" t="s">
        <v>40</v>
      </c>
      <c r="B20" s="4">
        <v>43106</v>
      </c>
      <c r="C20" s="4">
        <v>43146</v>
      </c>
      <c r="D20" s="5"/>
      <c r="E20" s="49"/>
      <c r="F20" s="5">
        <v>8.2899999999999991</v>
      </c>
      <c r="G20" s="5">
        <f>25/30*39</f>
        <v>32.5</v>
      </c>
      <c r="H20" s="5"/>
      <c r="I20" s="5"/>
      <c r="J20" s="6">
        <v>70</v>
      </c>
      <c r="K20" s="6">
        <v>26</v>
      </c>
      <c r="L20" s="6">
        <f t="shared" si="0"/>
        <v>30.799999999999997</v>
      </c>
    </row>
    <row r="21" spans="1:13">
      <c r="A21" s="9" t="s">
        <v>44</v>
      </c>
      <c r="B21" s="4">
        <v>43196</v>
      </c>
      <c r="C21" s="4">
        <v>43250</v>
      </c>
      <c r="D21" s="5"/>
      <c r="E21" s="49"/>
      <c r="F21" s="5">
        <v>13.78</v>
      </c>
      <c r="G21" s="5">
        <f>25*24/30+25</f>
        <v>45</v>
      </c>
      <c r="H21" s="5"/>
      <c r="I21" s="5"/>
      <c r="J21" s="6">
        <f>60</f>
        <v>60</v>
      </c>
      <c r="K21" s="6">
        <v>25</v>
      </c>
      <c r="L21" s="6">
        <f t="shared" si="0"/>
        <v>24.5</v>
      </c>
    </row>
    <row r="22" spans="1:13">
      <c r="A22" s="22" t="s">
        <v>47</v>
      </c>
      <c r="B22" s="4">
        <v>43355</v>
      </c>
      <c r="C22" s="4">
        <v>43277</v>
      </c>
      <c r="D22" s="5"/>
      <c r="E22" s="49"/>
      <c r="F22" s="5">
        <v>19.98</v>
      </c>
      <c r="G22" s="5">
        <f>36*2+36/30*16</f>
        <v>91.2</v>
      </c>
      <c r="H22" s="5"/>
      <c r="I22" s="5"/>
      <c r="J22" s="6">
        <v>105</v>
      </c>
      <c r="K22" s="6">
        <v>36</v>
      </c>
      <c r="L22" s="6">
        <f t="shared" si="0"/>
        <v>48.3</v>
      </c>
    </row>
    <row r="23" spans="1:13">
      <c r="A23" s="22" t="s">
        <v>48</v>
      </c>
      <c r="B23" s="4">
        <v>43367</v>
      </c>
      <c r="C23" s="4">
        <v>43284</v>
      </c>
      <c r="D23" s="5"/>
      <c r="E23" s="49"/>
      <c r="F23" s="5">
        <v>9.1</v>
      </c>
      <c r="G23" s="5">
        <f>25+25/30*27</f>
        <v>47.5</v>
      </c>
      <c r="H23" s="5"/>
      <c r="I23" s="5"/>
      <c r="J23" s="6">
        <v>75</v>
      </c>
      <c r="K23" s="6">
        <v>25</v>
      </c>
      <c r="L23" s="6">
        <f t="shared" si="0"/>
        <v>35</v>
      </c>
    </row>
    <row r="24" spans="1:13">
      <c r="A24" s="2" t="s">
        <v>45</v>
      </c>
      <c r="B24" s="4"/>
      <c r="C24" s="4">
        <v>43286</v>
      </c>
      <c r="D24" s="5"/>
      <c r="E24" s="49"/>
      <c r="F24" s="5">
        <v>11.56</v>
      </c>
      <c r="G24" s="5"/>
      <c r="H24" s="5"/>
      <c r="I24" s="5"/>
      <c r="J24" s="6">
        <v>150</v>
      </c>
      <c r="K24" s="6">
        <v>76</v>
      </c>
      <c r="L24" s="6">
        <f t="shared" si="0"/>
        <v>51.8</v>
      </c>
      <c r="M24" s="20"/>
    </row>
    <row r="25" spans="1:13">
      <c r="A25" s="22" t="s">
        <v>49</v>
      </c>
      <c r="B25" s="4">
        <v>43367</v>
      </c>
      <c r="C25" s="4">
        <v>43291</v>
      </c>
      <c r="D25" s="5"/>
      <c r="E25" s="49"/>
      <c r="F25" s="5">
        <v>10.039999999999999</v>
      </c>
      <c r="G25" s="5">
        <f>50+25/30*14</f>
        <v>61.666666666666671</v>
      </c>
      <c r="H25" s="5"/>
      <c r="I25" s="5"/>
      <c r="J25" s="6">
        <v>70</v>
      </c>
      <c r="K25" s="6">
        <v>25</v>
      </c>
      <c r="L25" s="6">
        <f t="shared" si="0"/>
        <v>31.499999999999996</v>
      </c>
    </row>
    <row r="26" spans="1:13">
      <c r="A26" s="22" t="s">
        <v>51</v>
      </c>
      <c r="B26" s="4">
        <v>43358</v>
      </c>
      <c r="C26" s="4">
        <v>43291</v>
      </c>
      <c r="D26" s="5"/>
      <c r="E26" s="49"/>
      <c r="F26" s="5">
        <v>10.039999999999999</v>
      </c>
      <c r="G26" s="5">
        <f>50+25/30*5</f>
        <v>54.166666666666664</v>
      </c>
      <c r="H26" s="5"/>
      <c r="I26" s="5"/>
      <c r="J26" s="6">
        <v>75</v>
      </c>
      <c r="K26" s="6">
        <v>25</v>
      </c>
      <c r="L26" s="6">
        <f t="shared" si="0"/>
        <v>35</v>
      </c>
    </row>
    <row r="27" spans="1:13">
      <c r="A27" s="22" t="s">
        <v>52</v>
      </c>
      <c r="B27" s="4">
        <v>43367</v>
      </c>
      <c r="C27" s="4">
        <v>43308</v>
      </c>
      <c r="D27" s="5"/>
      <c r="E27" s="49"/>
      <c r="F27" s="5">
        <v>10.86</v>
      </c>
      <c r="G27" s="5">
        <f>25+25/30*27</f>
        <v>47.5</v>
      </c>
      <c r="H27" s="5"/>
      <c r="I27" s="5"/>
      <c r="J27" s="6">
        <v>75</v>
      </c>
      <c r="K27" s="18">
        <v>25</v>
      </c>
      <c r="L27" s="18">
        <f t="shared" si="0"/>
        <v>35</v>
      </c>
    </row>
    <row r="28" spans="1:13">
      <c r="A28" s="22" t="s">
        <v>50</v>
      </c>
      <c r="B28" s="4">
        <v>43367</v>
      </c>
      <c r="C28" s="4">
        <v>43312</v>
      </c>
      <c r="D28" s="5"/>
      <c r="E28" s="49"/>
      <c r="F28" s="5">
        <v>10.86</v>
      </c>
      <c r="G28" s="5">
        <f>25+25/30*24</f>
        <v>45</v>
      </c>
      <c r="H28" s="5"/>
      <c r="I28" s="5"/>
      <c r="J28" s="6">
        <v>70</v>
      </c>
      <c r="K28" s="18">
        <v>25</v>
      </c>
      <c r="L28" s="18">
        <f t="shared" si="0"/>
        <v>31.499999999999996</v>
      </c>
    </row>
    <row r="29" spans="1:13">
      <c r="A29" s="22" t="s">
        <v>55</v>
      </c>
      <c r="B29" s="4">
        <v>43363</v>
      </c>
      <c r="C29" s="4">
        <v>43440</v>
      </c>
      <c r="D29" s="5"/>
      <c r="E29" s="49"/>
      <c r="F29" s="5">
        <v>14.11</v>
      </c>
      <c r="G29" s="5">
        <f>25*2+25*16/30</f>
        <v>63.333333333333336</v>
      </c>
      <c r="H29" s="5"/>
      <c r="I29" s="5"/>
      <c r="J29" s="6">
        <v>75</v>
      </c>
      <c r="K29" s="18">
        <v>25</v>
      </c>
      <c r="L29" s="18">
        <f t="shared" si="0"/>
        <v>35</v>
      </c>
    </row>
    <row r="30" spans="1:13">
      <c r="A30" s="22" t="s">
        <v>54</v>
      </c>
      <c r="B30" s="4">
        <v>43167</v>
      </c>
      <c r="C30" s="4">
        <v>43455</v>
      </c>
      <c r="D30" s="5"/>
      <c r="E30" s="49"/>
      <c r="F30" s="5">
        <v>10.86</v>
      </c>
      <c r="G30" s="5">
        <f>9*25+25*13/30</f>
        <v>235.83333333333334</v>
      </c>
      <c r="H30" s="5"/>
      <c r="I30" s="5"/>
      <c r="J30" s="6">
        <v>90</v>
      </c>
      <c r="K30" s="18">
        <v>36</v>
      </c>
      <c r="L30" s="18">
        <f t="shared" si="0"/>
        <v>37.799999999999997</v>
      </c>
    </row>
    <row r="31" spans="1:13">
      <c r="A31" s="22" t="s">
        <v>57</v>
      </c>
      <c r="B31" s="4">
        <v>43478</v>
      </c>
      <c r="C31" s="4">
        <v>43536</v>
      </c>
      <c r="D31" s="5"/>
      <c r="E31" s="49"/>
      <c r="F31" s="5">
        <v>10.86</v>
      </c>
      <c r="G31" s="5">
        <v>25</v>
      </c>
      <c r="H31" s="5"/>
      <c r="I31" s="5"/>
      <c r="J31" s="6">
        <v>70</v>
      </c>
      <c r="K31" s="6">
        <v>25</v>
      </c>
      <c r="L31" s="6">
        <f t="shared" si="0"/>
        <v>31.499999999999996</v>
      </c>
    </row>
    <row r="32" spans="1:13">
      <c r="A32" s="22" t="s">
        <v>59</v>
      </c>
      <c r="B32" s="4">
        <v>43528</v>
      </c>
      <c r="C32" s="4">
        <v>43538</v>
      </c>
      <c r="D32" s="5"/>
      <c r="E32" s="49"/>
      <c r="F32" s="5">
        <v>14.92</v>
      </c>
      <c r="G32" s="5">
        <f>77/30*10</f>
        <v>25.666666666666668</v>
      </c>
      <c r="H32" s="5"/>
      <c r="I32" s="5"/>
      <c r="J32" s="6">
        <v>169</v>
      </c>
      <c r="K32" s="6">
        <f>64+11+2</f>
        <v>77</v>
      </c>
      <c r="L32" s="6">
        <f t="shared" si="0"/>
        <v>64.399999999999991</v>
      </c>
    </row>
    <row r="33" spans="1:13">
      <c r="A33" s="22" t="s">
        <v>58</v>
      </c>
      <c r="B33" s="4">
        <v>43534</v>
      </c>
      <c r="C33" s="4">
        <v>43542</v>
      </c>
      <c r="D33" s="5"/>
      <c r="E33" s="49"/>
      <c r="F33" s="5">
        <f>10.86*2</f>
        <v>21.72</v>
      </c>
      <c r="G33" s="5">
        <v>0</v>
      </c>
      <c r="H33" s="5"/>
      <c r="I33" s="5"/>
      <c r="J33" s="6">
        <v>120</v>
      </c>
      <c r="K33" s="6">
        <f>60+11</f>
        <v>71</v>
      </c>
      <c r="L33" s="6">
        <f t="shared" si="0"/>
        <v>34.299999999999997</v>
      </c>
    </row>
    <row r="34" spans="1:13">
      <c r="A34" s="22" t="s">
        <v>61</v>
      </c>
      <c r="B34" s="4">
        <v>43482</v>
      </c>
      <c r="C34" s="4">
        <v>43542</v>
      </c>
      <c r="D34" s="5"/>
      <c r="E34" s="49"/>
      <c r="F34" s="5">
        <v>11.1</v>
      </c>
      <c r="G34" s="5">
        <f>25*2</f>
        <v>50</v>
      </c>
      <c r="H34" s="5"/>
      <c r="I34" s="5"/>
      <c r="J34" s="6">
        <v>70</v>
      </c>
      <c r="K34" s="6">
        <v>26</v>
      </c>
      <c r="L34" s="6">
        <f t="shared" si="0"/>
        <v>30.799999999999997</v>
      </c>
    </row>
    <row r="35" spans="1:13">
      <c r="A35" s="22" t="s">
        <v>63</v>
      </c>
      <c r="B35" s="4">
        <v>43593</v>
      </c>
      <c r="C35" s="4">
        <v>43605</v>
      </c>
      <c r="D35" s="5"/>
      <c r="E35" s="49"/>
      <c r="F35" s="5">
        <f>10.86*2+20</f>
        <v>41.72</v>
      </c>
      <c r="G35" s="5">
        <f>18/30*12</f>
        <v>7.1999999999999993</v>
      </c>
      <c r="H35" s="5"/>
      <c r="I35" s="5"/>
      <c r="J35" s="6">
        <v>100</v>
      </c>
      <c r="K35" s="6">
        <f>11+7</f>
        <v>18</v>
      </c>
      <c r="L35" s="6">
        <f t="shared" si="0"/>
        <v>57.4</v>
      </c>
    </row>
    <row r="36" spans="1:13">
      <c r="A36" s="22" t="s">
        <v>67</v>
      </c>
      <c r="B36" s="4">
        <v>43600</v>
      </c>
      <c r="C36" s="4">
        <v>43629</v>
      </c>
      <c r="D36" s="5"/>
      <c r="E36" s="49"/>
      <c r="F36" s="5">
        <f>10.86*2</f>
        <v>21.72</v>
      </c>
      <c r="G36" s="5">
        <f>22/30*58</f>
        <v>42.533333333333331</v>
      </c>
      <c r="H36" s="5">
        <v>50</v>
      </c>
      <c r="I36" s="5">
        <f>F36+G36+H36</f>
        <v>114.25333333333333</v>
      </c>
      <c r="J36" s="6">
        <v>60</v>
      </c>
      <c r="K36" s="6">
        <v>25</v>
      </c>
      <c r="L36" s="6">
        <v>0</v>
      </c>
    </row>
    <row r="37" spans="1:13">
      <c r="A37" s="22" t="s">
        <v>66</v>
      </c>
      <c r="B37" s="4">
        <v>43600</v>
      </c>
      <c r="C37" s="4">
        <v>43629</v>
      </c>
      <c r="D37" s="5"/>
      <c r="E37" s="49"/>
      <c r="F37" s="5">
        <f>10.86</f>
        <v>10.86</v>
      </c>
      <c r="G37" s="5">
        <f>39/30*58</f>
        <v>75.400000000000006</v>
      </c>
      <c r="H37" s="5"/>
      <c r="I37" s="5">
        <f>F37+G37</f>
        <v>86.26</v>
      </c>
      <c r="J37" s="6">
        <v>110</v>
      </c>
      <c r="K37" s="6">
        <f>25+11+3</f>
        <v>39</v>
      </c>
      <c r="L37" s="6">
        <v>0</v>
      </c>
      <c r="M37" t="s">
        <v>73</v>
      </c>
    </row>
    <row r="38" spans="1:13">
      <c r="A38" s="22" t="s">
        <v>64</v>
      </c>
      <c r="B38" s="4">
        <v>43627</v>
      </c>
      <c r="C38" s="4">
        <v>43629</v>
      </c>
      <c r="D38" s="5"/>
      <c r="E38" s="49"/>
      <c r="F38" s="5">
        <v>10.86</v>
      </c>
      <c r="G38" s="5">
        <f>25/30*2</f>
        <v>1.6666666666666667</v>
      </c>
      <c r="H38" s="5"/>
      <c r="I38" s="5">
        <f>F38+G38</f>
        <v>12.526666666666666</v>
      </c>
      <c r="J38" s="6">
        <v>75</v>
      </c>
      <c r="K38" s="6">
        <v>33</v>
      </c>
      <c r="L38" s="6">
        <f t="shared" si="0"/>
        <v>29.4</v>
      </c>
    </row>
    <row r="39" spans="1:13">
      <c r="A39" s="22" t="s">
        <v>65</v>
      </c>
      <c r="B39" s="4">
        <v>43622</v>
      </c>
      <c r="C39" s="4">
        <v>43650</v>
      </c>
      <c r="D39" s="5"/>
      <c r="E39" s="49"/>
      <c r="F39" s="5">
        <v>10.86</v>
      </c>
      <c r="G39" s="5"/>
      <c r="H39" s="5"/>
      <c r="I39" s="5"/>
      <c r="J39" s="6">
        <v>120</v>
      </c>
      <c r="K39" s="6">
        <v>60</v>
      </c>
      <c r="L39" s="6">
        <f t="shared" si="0"/>
        <v>42</v>
      </c>
    </row>
    <row r="40" spans="1:13">
      <c r="A40" s="22" t="s">
        <v>71</v>
      </c>
      <c r="B40" s="4">
        <v>43635</v>
      </c>
      <c r="C40" s="4">
        <v>43662</v>
      </c>
      <c r="D40" s="5"/>
      <c r="E40" s="49"/>
      <c r="F40" s="5">
        <f>10.86*2</f>
        <v>21.72</v>
      </c>
      <c r="G40" s="5"/>
      <c r="H40" s="5"/>
      <c r="I40" s="5"/>
      <c r="J40" s="6">
        <v>70</v>
      </c>
      <c r="K40" s="6">
        <v>26</v>
      </c>
      <c r="L40" s="6">
        <f t="shared" si="0"/>
        <v>30.799999999999997</v>
      </c>
      <c r="M40" t="s">
        <v>72</v>
      </c>
    </row>
    <row r="41" spans="1:13">
      <c r="A41" s="22" t="s">
        <v>77</v>
      </c>
      <c r="B41" s="4">
        <v>43682</v>
      </c>
      <c r="C41" s="4">
        <v>43682</v>
      </c>
      <c r="D41" s="5"/>
      <c r="E41" s="49"/>
      <c r="F41" s="5"/>
      <c r="G41" s="5"/>
      <c r="H41" s="5"/>
      <c r="I41" s="5"/>
      <c r="J41" s="6">
        <v>10</v>
      </c>
      <c r="K41" s="6">
        <v>1</v>
      </c>
      <c r="L41" s="6">
        <f t="shared" si="0"/>
        <v>6.3</v>
      </c>
    </row>
    <row r="42" spans="1:13">
      <c r="A42" s="2" t="s">
        <v>74</v>
      </c>
      <c r="B42" s="4">
        <v>43661</v>
      </c>
      <c r="C42" s="4">
        <v>43711</v>
      </c>
      <c r="D42" s="5"/>
      <c r="E42" s="49"/>
      <c r="F42" s="5">
        <v>10.86</v>
      </c>
      <c r="G42" s="5">
        <f>36/30*48</f>
        <v>57.599999999999994</v>
      </c>
      <c r="H42" s="5"/>
      <c r="I42" s="5"/>
      <c r="J42" s="6">
        <v>105</v>
      </c>
      <c r="K42" s="6">
        <v>36</v>
      </c>
      <c r="L42" s="6">
        <f t="shared" si="0"/>
        <v>48.3</v>
      </c>
    </row>
    <row r="43" spans="1:13">
      <c r="A43" s="2" t="s">
        <v>75</v>
      </c>
      <c r="B43" s="4">
        <v>43656</v>
      </c>
      <c r="C43" s="4">
        <v>43711</v>
      </c>
      <c r="D43" s="5"/>
      <c r="E43" s="49"/>
      <c r="F43" s="5">
        <v>10.86</v>
      </c>
      <c r="G43" s="5">
        <f>36/30*48</f>
        <v>57.599999999999994</v>
      </c>
      <c r="H43" s="5"/>
      <c r="I43" s="5"/>
      <c r="J43" s="6">
        <v>105</v>
      </c>
      <c r="K43" s="6">
        <v>36</v>
      </c>
      <c r="L43" s="18">
        <f t="shared" si="0"/>
        <v>48.3</v>
      </c>
    </row>
    <row r="44" spans="1:13">
      <c r="A44" s="2" t="s">
        <v>76</v>
      </c>
      <c r="B44" s="4">
        <v>43677</v>
      </c>
      <c r="C44" s="4">
        <v>43713</v>
      </c>
      <c r="D44" s="5"/>
      <c r="E44" s="49"/>
      <c r="F44" s="5">
        <v>24.06</v>
      </c>
      <c r="G44" s="5">
        <f>80/30*35</f>
        <v>93.333333333333329</v>
      </c>
      <c r="H44" s="5">
        <v>40</v>
      </c>
      <c r="I44" s="5"/>
      <c r="J44" s="6">
        <v>149</v>
      </c>
      <c r="K44" s="6">
        <v>80</v>
      </c>
      <c r="L44" s="6">
        <f t="shared" si="0"/>
        <v>48.3</v>
      </c>
      <c r="M44" t="s">
        <v>79</v>
      </c>
    </row>
    <row r="45" spans="1:13">
      <c r="A45" s="22" t="s">
        <v>78</v>
      </c>
      <c r="B45" s="4">
        <v>43747</v>
      </c>
      <c r="C45" s="4">
        <v>43789</v>
      </c>
      <c r="D45" s="5"/>
      <c r="E45" s="49"/>
      <c r="F45" s="5">
        <f>9.51+9.44</f>
        <v>18.95</v>
      </c>
      <c r="G45" s="5">
        <f>52/30*41</f>
        <v>71.066666666666663</v>
      </c>
      <c r="H45" s="5"/>
      <c r="I45" s="5"/>
      <c r="J45" s="17">
        <v>99</v>
      </c>
      <c r="K45" s="18">
        <f>52</f>
        <v>52</v>
      </c>
      <c r="L45" s="6">
        <f t="shared" si="0"/>
        <v>32.9</v>
      </c>
    </row>
    <row r="46" spans="1:13">
      <c r="A46" s="2" t="s">
        <v>81</v>
      </c>
      <c r="B46" s="4">
        <v>43788</v>
      </c>
      <c r="C46" s="4">
        <v>43865</v>
      </c>
      <c r="D46" s="5"/>
      <c r="E46" s="49"/>
      <c r="F46" s="5">
        <v>9.14</v>
      </c>
      <c r="G46" s="5">
        <f>25/30*45</f>
        <v>37.5</v>
      </c>
      <c r="H46" s="5"/>
      <c r="I46" s="5"/>
      <c r="J46" s="6">
        <v>90</v>
      </c>
      <c r="K46" s="6">
        <v>25</v>
      </c>
      <c r="L46" s="27">
        <f t="shared" si="0"/>
        <v>45.5</v>
      </c>
    </row>
    <row r="47" spans="1:13">
      <c r="A47" s="22" t="s">
        <v>87</v>
      </c>
      <c r="B47" s="35">
        <v>43878</v>
      </c>
      <c r="C47" s="35">
        <v>43892</v>
      </c>
      <c r="D47" s="5"/>
      <c r="E47" s="49"/>
      <c r="F47" s="5">
        <v>12.19</v>
      </c>
      <c r="G47" s="5">
        <v>5.5</v>
      </c>
      <c r="H47" s="5"/>
      <c r="I47" s="5"/>
      <c r="J47" s="6">
        <v>25</v>
      </c>
      <c r="K47" s="6">
        <v>11</v>
      </c>
      <c r="L47" s="6">
        <f t="shared" si="0"/>
        <v>9.7999999999999989</v>
      </c>
    </row>
    <row r="48" spans="1:13">
      <c r="A48" s="22" t="s">
        <v>89</v>
      </c>
      <c r="B48" s="35">
        <v>43908</v>
      </c>
      <c r="C48" s="35">
        <v>43893</v>
      </c>
      <c r="D48" s="5"/>
      <c r="E48" s="49"/>
      <c r="F48" s="5">
        <v>9.6</v>
      </c>
      <c r="G48" s="5">
        <v>5.5</v>
      </c>
      <c r="H48" s="5"/>
      <c r="I48" s="5"/>
      <c r="J48" s="6">
        <v>25</v>
      </c>
      <c r="K48" s="6">
        <v>11</v>
      </c>
      <c r="L48" s="6">
        <f t="shared" si="0"/>
        <v>9.7999999999999989</v>
      </c>
    </row>
    <row r="49" spans="1:14">
      <c r="A49" s="22" t="s">
        <v>85</v>
      </c>
      <c r="B49" s="35">
        <v>43881</v>
      </c>
      <c r="C49" s="35">
        <v>43895</v>
      </c>
      <c r="D49" s="5"/>
      <c r="E49" s="49"/>
      <c r="F49" s="5">
        <v>9.14</v>
      </c>
      <c r="G49" s="5">
        <f>11/30*15</f>
        <v>5.5</v>
      </c>
      <c r="H49" s="5"/>
      <c r="I49" s="5"/>
      <c r="J49" s="6">
        <v>25</v>
      </c>
      <c r="K49" s="6">
        <v>11</v>
      </c>
      <c r="L49" s="6">
        <f t="shared" si="0"/>
        <v>9.7999999999999989</v>
      </c>
    </row>
    <row r="50" spans="1:14">
      <c r="A50" s="22" t="s">
        <v>86</v>
      </c>
      <c r="B50" s="35">
        <v>43882</v>
      </c>
      <c r="C50" s="35">
        <v>43896</v>
      </c>
      <c r="D50" s="5"/>
      <c r="E50" s="49"/>
      <c r="F50" s="5">
        <v>12.19</v>
      </c>
      <c r="G50" s="5">
        <f>22/2</f>
        <v>11</v>
      </c>
      <c r="H50" s="5"/>
      <c r="I50" s="5"/>
      <c r="J50" s="6">
        <v>60</v>
      </c>
      <c r="K50" s="6">
        <v>22</v>
      </c>
      <c r="L50" s="6">
        <f t="shared" si="0"/>
        <v>26.599999999999998</v>
      </c>
    </row>
    <row r="51" spans="1:14">
      <c r="A51" s="22" t="s">
        <v>82</v>
      </c>
      <c r="B51" s="45">
        <v>40235</v>
      </c>
      <c r="C51" s="35">
        <v>43901</v>
      </c>
      <c r="D51" s="5"/>
      <c r="E51" s="49"/>
      <c r="F51" s="5">
        <v>9.6</v>
      </c>
      <c r="G51" s="5">
        <f>11/2</f>
        <v>5.5</v>
      </c>
      <c r="H51" s="5"/>
      <c r="I51" s="5"/>
      <c r="J51" s="6">
        <v>25</v>
      </c>
      <c r="K51" s="6">
        <v>11</v>
      </c>
      <c r="L51" s="6">
        <f t="shared" si="0"/>
        <v>9.7999999999999989</v>
      </c>
    </row>
    <row r="52" spans="1:14">
      <c r="A52" s="22" t="s">
        <v>84</v>
      </c>
      <c r="B52" s="35">
        <v>43889</v>
      </c>
      <c r="C52" s="35">
        <v>43903</v>
      </c>
      <c r="D52" s="5"/>
      <c r="E52" s="49"/>
      <c r="F52" s="5">
        <v>9.14</v>
      </c>
      <c r="G52" s="5">
        <f>11/30*15</f>
        <v>5.5</v>
      </c>
      <c r="H52" s="5"/>
      <c r="I52" s="5"/>
      <c r="J52" s="6">
        <v>25</v>
      </c>
      <c r="K52" s="6">
        <v>11</v>
      </c>
      <c r="L52" s="6">
        <f t="shared" si="0"/>
        <v>9.7999999999999989</v>
      </c>
    </row>
    <row r="53" spans="1:14">
      <c r="A53" s="22" t="s">
        <v>80</v>
      </c>
      <c r="B53" s="35">
        <v>43873</v>
      </c>
      <c r="C53" s="35">
        <v>43910</v>
      </c>
      <c r="D53" s="5"/>
      <c r="E53" s="49"/>
      <c r="F53" s="5">
        <v>21.84</v>
      </c>
      <c r="G53" s="5">
        <f>56/30*38</f>
        <v>70.933333333333337</v>
      </c>
      <c r="H53" s="5"/>
      <c r="I53" s="5"/>
      <c r="J53" s="6">
        <v>120</v>
      </c>
      <c r="K53" s="6">
        <v>56</v>
      </c>
      <c r="L53" s="6">
        <f t="shared" si="0"/>
        <v>44.8</v>
      </c>
    </row>
    <row r="54" spans="1:14">
      <c r="A54" s="22" t="s">
        <v>83</v>
      </c>
      <c r="B54" s="35">
        <v>43872</v>
      </c>
      <c r="C54" s="35">
        <v>43913</v>
      </c>
      <c r="D54" s="5"/>
      <c r="E54" s="49"/>
      <c r="F54" s="5">
        <v>12.24</v>
      </c>
      <c r="G54" s="5">
        <f>45/30*42</f>
        <v>63</v>
      </c>
      <c r="H54" s="5"/>
      <c r="I54" s="5"/>
      <c r="J54" s="6">
        <v>85</v>
      </c>
      <c r="K54" s="6">
        <v>45</v>
      </c>
      <c r="L54" s="6">
        <f t="shared" si="0"/>
        <v>28</v>
      </c>
    </row>
    <row r="55" spans="1:14">
      <c r="A55" s="22" t="s">
        <v>88</v>
      </c>
      <c r="B55" s="35">
        <v>43855</v>
      </c>
      <c r="C55" s="35">
        <v>43941</v>
      </c>
      <c r="D55" s="5"/>
      <c r="E55" s="49"/>
      <c r="F55" s="5">
        <v>13.93</v>
      </c>
      <c r="G55" s="5">
        <f>56/30*85</f>
        <v>158.66666666666666</v>
      </c>
      <c r="H55" s="5"/>
      <c r="I55" s="5"/>
      <c r="J55" s="6">
        <v>110</v>
      </c>
      <c r="K55" s="6">
        <v>56</v>
      </c>
      <c r="L55" s="6">
        <f t="shared" si="0"/>
        <v>37.799999999999997</v>
      </c>
    </row>
    <row r="56" spans="1:14">
      <c r="A56" s="22" t="s">
        <v>90</v>
      </c>
      <c r="B56" s="35" t="s">
        <v>96</v>
      </c>
      <c r="C56" s="35">
        <v>44015</v>
      </c>
      <c r="D56" s="5" t="s">
        <v>160</v>
      </c>
      <c r="E56" s="49">
        <v>12.5</v>
      </c>
      <c r="F56" s="5">
        <v>11.29</v>
      </c>
      <c r="G56" s="5">
        <f>100</f>
        <v>100</v>
      </c>
      <c r="H56" s="5"/>
      <c r="I56" s="5"/>
      <c r="J56" s="6">
        <v>75</v>
      </c>
      <c r="K56" s="6">
        <f>25+11</f>
        <v>36</v>
      </c>
      <c r="L56" s="6">
        <f>12.5+(62.5-K56)*0.7</f>
        <v>31.049999999999997</v>
      </c>
      <c r="N56" s="41"/>
    </row>
    <row r="57" spans="1:14">
      <c r="A57" s="22" t="s">
        <v>97</v>
      </c>
      <c r="B57" s="35">
        <v>43990</v>
      </c>
      <c r="C57" s="35">
        <v>44036</v>
      </c>
      <c r="D57" s="5"/>
      <c r="E57" s="49"/>
      <c r="F57" s="5">
        <v>8.75</v>
      </c>
      <c r="G57" s="5">
        <f>56/30*46</f>
        <v>85.866666666666674</v>
      </c>
      <c r="H57" s="5"/>
      <c r="I57" s="5"/>
      <c r="J57" s="6">
        <v>110</v>
      </c>
      <c r="K57" s="6">
        <f>45+11</f>
        <v>56</v>
      </c>
      <c r="L57" s="6">
        <f>(J57-K57)*0.7</f>
        <v>37.799999999999997</v>
      </c>
    </row>
    <row r="58" spans="1:14">
      <c r="A58" s="22" t="s">
        <v>95</v>
      </c>
      <c r="B58" s="35">
        <v>44028</v>
      </c>
      <c r="C58" s="35">
        <v>44040</v>
      </c>
      <c r="D58" s="5"/>
      <c r="E58" s="49"/>
      <c r="F58" s="5">
        <v>8.75</v>
      </c>
      <c r="G58" s="5">
        <f>41/30*12</f>
        <v>16.399999999999999</v>
      </c>
      <c r="H58" s="5"/>
      <c r="I58" s="5"/>
      <c r="J58" s="6">
        <v>60</v>
      </c>
      <c r="K58" s="6">
        <v>41</v>
      </c>
      <c r="L58" s="6">
        <f>(J58-K58)*0.7</f>
        <v>13.299999999999999</v>
      </c>
    </row>
    <row r="59" spans="1:14">
      <c r="A59" s="22" t="s">
        <v>93</v>
      </c>
      <c r="B59" s="35">
        <v>44043</v>
      </c>
      <c r="C59" s="35">
        <v>44043</v>
      </c>
      <c r="D59" s="5" t="s">
        <v>160</v>
      </c>
      <c r="E59" s="49">
        <v>15</v>
      </c>
      <c r="F59" s="5">
        <v>27.02</v>
      </c>
      <c r="G59" s="5">
        <v>0</v>
      </c>
      <c r="H59" s="5"/>
      <c r="I59" s="5"/>
      <c r="J59" s="6">
        <v>160</v>
      </c>
      <c r="K59" s="6">
        <f>45+22</f>
        <v>67</v>
      </c>
      <c r="L59" s="6">
        <f>15+78*0.7</f>
        <v>69.599999999999994</v>
      </c>
      <c r="N59" s="41"/>
    </row>
    <row r="60" spans="1:14">
      <c r="A60" s="22" t="s">
        <v>98</v>
      </c>
      <c r="B60" s="35">
        <v>44048</v>
      </c>
      <c r="C60" s="35">
        <v>44081</v>
      </c>
      <c r="D60" s="5" t="s">
        <v>160</v>
      </c>
      <c r="E60" s="49">
        <v>17.5</v>
      </c>
      <c r="F60" s="5">
        <v>27.88</v>
      </c>
      <c r="G60" s="5">
        <f>58/30*32</f>
        <v>61.866666666666667</v>
      </c>
      <c r="H60" s="5">
        <v>125</v>
      </c>
      <c r="I60" s="5"/>
      <c r="J60" s="6">
        <v>140</v>
      </c>
      <c r="K60" s="6">
        <f>25+33</f>
        <v>58</v>
      </c>
      <c r="L60" s="6">
        <f>17.5+64.5*0.7</f>
        <v>62.65</v>
      </c>
      <c r="N60" s="41"/>
    </row>
    <row r="61" spans="1:14">
      <c r="A61" s="22" t="s">
        <v>91</v>
      </c>
      <c r="B61" s="35">
        <v>44011</v>
      </c>
      <c r="C61" s="35">
        <v>44084</v>
      </c>
      <c r="D61" s="5"/>
      <c r="E61" s="49"/>
      <c r="F61" s="5">
        <v>11.29</v>
      </c>
      <c r="G61" s="5">
        <f>25/30*71</f>
        <v>59.166666666666671</v>
      </c>
      <c r="H61" s="5"/>
      <c r="I61" s="5"/>
      <c r="J61" s="6">
        <v>40</v>
      </c>
      <c r="K61" s="6">
        <v>25</v>
      </c>
      <c r="L61" s="6">
        <f>(J61-K61)*0.7</f>
        <v>10.5</v>
      </c>
    </row>
    <row r="62" spans="1:14">
      <c r="A62" s="2" t="s">
        <v>99</v>
      </c>
      <c r="B62" s="35">
        <v>44084</v>
      </c>
      <c r="C62" s="35">
        <v>44105</v>
      </c>
      <c r="D62" s="5" t="s">
        <v>160</v>
      </c>
      <c r="E62" s="49">
        <v>5</v>
      </c>
      <c r="F62" s="5">
        <v>12.24</v>
      </c>
      <c r="G62" s="5">
        <f>25/30*20</f>
        <v>16.666666666666668</v>
      </c>
      <c r="H62" s="5"/>
      <c r="I62" s="5"/>
      <c r="J62" s="43">
        <v>40</v>
      </c>
      <c r="K62" s="6">
        <v>22</v>
      </c>
      <c r="L62" s="6">
        <f>5+13*0.7</f>
        <v>14.1</v>
      </c>
      <c r="N62" s="41"/>
    </row>
    <row r="63" spans="1:14">
      <c r="A63" s="2" t="s">
        <v>102</v>
      </c>
      <c r="B63" s="4" t="s">
        <v>103</v>
      </c>
      <c r="C63" s="4">
        <v>44110</v>
      </c>
      <c r="D63" s="5" t="s">
        <v>160</v>
      </c>
      <c r="E63" s="49">
        <v>10</v>
      </c>
      <c r="F63" s="5">
        <v>36.65</v>
      </c>
      <c r="G63" s="5">
        <f>115/30*26</f>
        <v>99.666666666666671</v>
      </c>
      <c r="H63" s="5"/>
      <c r="I63" s="5"/>
      <c r="J63" s="6">
        <v>180</v>
      </c>
      <c r="K63" s="6">
        <v>115</v>
      </c>
      <c r="L63" s="6">
        <f>10+55*0.7</f>
        <v>48.5</v>
      </c>
      <c r="N63" s="41"/>
    </row>
    <row r="64" spans="1:14">
      <c r="A64" s="2" t="s">
        <v>94</v>
      </c>
      <c r="B64" s="35">
        <v>44124</v>
      </c>
      <c r="C64" s="35">
        <v>44124</v>
      </c>
      <c r="D64" s="5"/>
      <c r="E64" s="49"/>
      <c r="F64" s="5">
        <v>7.25</v>
      </c>
      <c r="G64" s="5">
        <v>0</v>
      </c>
      <c r="H64" s="5"/>
      <c r="I64" s="5"/>
      <c r="J64" s="6">
        <v>25</v>
      </c>
      <c r="K64" s="6">
        <v>11</v>
      </c>
      <c r="L64" s="6">
        <f>(J64-K64)*0.7</f>
        <v>9.7999999999999989</v>
      </c>
    </row>
    <row r="65" spans="1:13">
      <c r="A65" s="2" t="s">
        <v>100</v>
      </c>
      <c r="B65" s="4">
        <v>44018</v>
      </c>
      <c r="C65" s="4">
        <v>44124</v>
      </c>
      <c r="D65" s="40"/>
      <c r="E65" s="2"/>
      <c r="F65" s="5">
        <v>9.5</v>
      </c>
      <c r="G65" s="5">
        <f>25/30*104</f>
        <v>86.666666666666671</v>
      </c>
      <c r="H65" s="5"/>
      <c r="I65" s="5"/>
      <c r="J65" s="6">
        <v>70</v>
      </c>
      <c r="K65" s="6">
        <v>25</v>
      </c>
      <c r="L65" s="6">
        <f>(J65-K65)*0.7</f>
        <v>31.499999999999996</v>
      </c>
    </row>
    <row r="66" spans="1:13">
      <c r="A66" s="2" t="s">
        <v>101</v>
      </c>
      <c r="B66" s="4">
        <v>44070</v>
      </c>
      <c r="C66" s="4">
        <v>44131</v>
      </c>
      <c r="D66" s="40"/>
      <c r="E66" s="2"/>
      <c r="F66" s="5">
        <v>13.93</v>
      </c>
      <c r="G66" s="5">
        <f>71/30*60</f>
        <v>142</v>
      </c>
      <c r="H66" s="5"/>
      <c r="I66" s="5"/>
      <c r="J66" s="6">
        <v>120</v>
      </c>
      <c r="K66" s="6">
        <f>60+11</f>
        <v>71</v>
      </c>
      <c r="L66" s="6">
        <f>(J66-K66)*0.7</f>
        <v>34.299999999999997</v>
      </c>
    </row>
    <row r="67" spans="1:13">
      <c r="A67" s="22" t="s">
        <v>104</v>
      </c>
      <c r="B67" s="4">
        <v>44159</v>
      </c>
      <c r="C67" s="4">
        <v>44187</v>
      </c>
      <c r="D67" s="40"/>
      <c r="E67" s="2"/>
      <c r="F67" s="5">
        <v>13.93</v>
      </c>
      <c r="G67" s="5">
        <f>36/30*28</f>
        <v>33.6</v>
      </c>
      <c r="H67" s="5"/>
      <c r="I67" s="5"/>
      <c r="J67" s="6">
        <v>110</v>
      </c>
      <c r="K67" s="6">
        <f>25+11</f>
        <v>36</v>
      </c>
      <c r="L67" s="6">
        <f>(J67-K67)*0.7</f>
        <v>51.8</v>
      </c>
    </row>
    <row r="68" spans="1:13">
      <c r="A68" s="39" t="s">
        <v>120</v>
      </c>
      <c r="B68" s="15">
        <v>44169</v>
      </c>
      <c r="C68" s="15">
        <v>44208</v>
      </c>
      <c r="D68" s="5" t="s">
        <v>160</v>
      </c>
      <c r="E68" s="34">
        <v>10</v>
      </c>
      <c r="F68" s="37"/>
      <c r="G68" s="5">
        <f>41/30*38</f>
        <v>51.933333333333337</v>
      </c>
      <c r="H68" s="5"/>
      <c r="I68" s="5"/>
      <c r="J68" s="17">
        <v>70</v>
      </c>
      <c r="K68" s="26">
        <v>45</v>
      </c>
      <c r="L68" s="37">
        <f>10+(60-45)*0.7</f>
        <v>20.5</v>
      </c>
      <c r="M68" s="1" t="s">
        <v>145</v>
      </c>
    </row>
    <row r="69" spans="1:13">
      <c r="A69" s="22" t="s">
        <v>108</v>
      </c>
      <c r="B69" s="4">
        <v>44185</v>
      </c>
      <c r="C69" s="4">
        <v>44242</v>
      </c>
      <c r="D69" s="5" t="s">
        <v>160</v>
      </c>
      <c r="E69" s="49">
        <v>20</v>
      </c>
      <c r="F69" s="5">
        <v>26.48</v>
      </c>
      <c r="G69" s="5">
        <f>50/30*55</f>
        <v>91.666666666666671</v>
      </c>
      <c r="H69" s="5">
        <v>160</v>
      </c>
      <c r="I69" s="5"/>
      <c r="J69" s="6">
        <v>190</v>
      </c>
      <c r="K69" s="6">
        <v>61</v>
      </c>
      <c r="L69" s="5">
        <f>(20+(170-61)*0.7)</f>
        <v>96.3</v>
      </c>
      <c r="M69" s="1" t="s">
        <v>145</v>
      </c>
    </row>
    <row r="70" spans="1:13">
      <c r="A70" s="22" t="s">
        <v>109</v>
      </c>
      <c r="B70" s="4">
        <v>44209</v>
      </c>
      <c r="C70" s="4">
        <v>44250</v>
      </c>
      <c r="D70" s="5" t="s">
        <v>160</v>
      </c>
      <c r="E70" s="49">
        <v>22.5</v>
      </c>
      <c r="F70" s="5">
        <v>22.83</v>
      </c>
      <c r="G70" s="5">
        <f>100/30*40</f>
        <v>133.33333333333334</v>
      </c>
      <c r="H70" s="5">
        <v>125</v>
      </c>
      <c r="I70" s="5"/>
      <c r="J70" s="6">
        <v>210</v>
      </c>
      <c r="K70" s="6">
        <v>100</v>
      </c>
      <c r="L70" s="6">
        <f>(22.5+87.5*0.7)</f>
        <v>83.75</v>
      </c>
    </row>
    <row r="71" spans="1:13">
      <c r="A71" s="2" t="s">
        <v>113</v>
      </c>
      <c r="B71" s="4">
        <v>44245</v>
      </c>
      <c r="C71" s="4">
        <v>44271</v>
      </c>
      <c r="D71" s="5" t="s">
        <v>160</v>
      </c>
      <c r="E71" s="49">
        <v>15</v>
      </c>
      <c r="F71" s="5">
        <v>26.76</v>
      </c>
      <c r="G71" s="5">
        <f>67/30*28</f>
        <v>62.533333333333331</v>
      </c>
      <c r="H71" s="5"/>
      <c r="I71" s="5"/>
      <c r="J71" s="6">
        <v>140</v>
      </c>
      <c r="K71" s="6">
        <v>67</v>
      </c>
      <c r="L71" s="6">
        <f>(15+0.7*58)</f>
        <v>55.599999999999994</v>
      </c>
    </row>
    <row r="72" spans="1:13">
      <c r="A72" s="2" t="s">
        <v>114</v>
      </c>
      <c r="B72" s="4">
        <v>44222</v>
      </c>
      <c r="C72" s="4">
        <v>44279</v>
      </c>
      <c r="D72" s="5" t="s">
        <v>160</v>
      </c>
      <c r="E72" s="49">
        <v>12.5</v>
      </c>
      <c r="F72" s="5">
        <v>13.4</v>
      </c>
      <c r="G72" s="5">
        <f>56/30*58</f>
        <v>108.26666666666667</v>
      </c>
      <c r="H72" s="5">
        <v>100</v>
      </c>
      <c r="I72" s="5"/>
      <c r="J72" s="6">
        <v>140</v>
      </c>
      <c r="K72" s="6">
        <v>56</v>
      </c>
      <c r="L72" s="5">
        <f>(12.5+71.5*0.7)</f>
        <v>62.55</v>
      </c>
      <c r="M72" s="1" t="s">
        <v>145</v>
      </c>
    </row>
    <row r="73" spans="1:13">
      <c r="A73" s="2" t="s">
        <v>112</v>
      </c>
      <c r="B73" s="4">
        <v>44270</v>
      </c>
      <c r="C73" s="4">
        <v>44286</v>
      </c>
      <c r="D73" s="5" t="s">
        <v>160</v>
      </c>
      <c r="E73" s="49">
        <v>17.5</v>
      </c>
      <c r="F73" s="5">
        <v>31.96</v>
      </c>
      <c r="G73" s="5">
        <f>55/30*16</f>
        <v>29.333333333333332</v>
      </c>
      <c r="H73" s="5">
        <v>75</v>
      </c>
      <c r="I73" s="5"/>
      <c r="J73" s="6">
        <v>100</v>
      </c>
      <c r="K73" s="6">
        <v>55</v>
      </c>
      <c r="L73" s="6">
        <f>(17.5+27.5*0.7)</f>
        <v>36.75</v>
      </c>
    </row>
    <row r="74" spans="1:13">
      <c r="A74" s="2" t="s">
        <v>119</v>
      </c>
      <c r="B74" s="4">
        <v>44281</v>
      </c>
      <c r="C74" s="4">
        <v>44316</v>
      </c>
      <c r="D74" s="40"/>
      <c r="E74" s="2"/>
      <c r="F74" s="5">
        <v>14.26</v>
      </c>
      <c r="G74" s="5">
        <f>45/30*34</f>
        <v>51</v>
      </c>
      <c r="H74" s="5"/>
      <c r="I74" s="5"/>
      <c r="J74" s="6">
        <v>110</v>
      </c>
      <c r="K74" s="6">
        <v>45</v>
      </c>
      <c r="L74" s="6">
        <f>(65*0.7)</f>
        <v>45.5</v>
      </c>
    </row>
    <row r="75" spans="1:13">
      <c r="A75" s="22" t="s">
        <v>121</v>
      </c>
      <c r="B75" s="4">
        <v>44316</v>
      </c>
      <c r="C75" s="4">
        <v>44354</v>
      </c>
      <c r="D75" s="40"/>
      <c r="E75" s="2"/>
      <c r="F75" s="5">
        <v>15.15</v>
      </c>
      <c r="G75" s="5">
        <f>36/30*37</f>
        <v>44.4</v>
      </c>
      <c r="H75" s="5"/>
      <c r="I75" s="5"/>
      <c r="J75" s="6">
        <v>110</v>
      </c>
      <c r="K75" s="6">
        <v>36</v>
      </c>
      <c r="L75" s="5">
        <f>(J75-K75)*0.7</f>
        <v>51.8</v>
      </c>
      <c r="M75" s="1" t="s">
        <v>145</v>
      </c>
    </row>
    <row r="76" spans="1:13">
      <c r="A76" s="22" t="s">
        <v>126</v>
      </c>
      <c r="B76" s="4">
        <v>44336</v>
      </c>
      <c r="C76" s="4">
        <v>44370</v>
      </c>
      <c r="D76" s="5" t="s">
        <v>161</v>
      </c>
      <c r="E76" s="49">
        <v>17.5</v>
      </c>
      <c r="F76" s="5">
        <v>35.78</v>
      </c>
      <c r="G76" s="5">
        <f>58/30*33</f>
        <v>63.8</v>
      </c>
      <c r="H76" s="5">
        <v>50</v>
      </c>
      <c r="I76" s="5"/>
      <c r="J76" s="6">
        <v>150</v>
      </c>
      <c r="K76" s="6">
        <v>58</v>
      </c>
      <c r="L76" s="6">
        <f>(17.5+74.5*0.7)</f>
        <v>69.650000000000006</v>
      </c>
    </row>
    <row r="77" spans="1:13">
      <c r="A77" s="44" t="s">
        <v>125</v>
      </c>
      <c r="B77" s="4">
        <v>44342</v>
      </c>
      <c r="C77" s="4">
        <v>44386</v>
      </c>
      <c r="D77" s="5" t="s">
        <v>160</v>
      </c>
      <c r="E77" s="49">
        <v>12.5</v>
      </c>
      <c r="F77" s="5">
        <v>15.46</v>
      </c>
      <c r="G77" s="5">
        <f>36/30*43</f>
        <v>51.6</v>
      </c>
      <c r="H77" s="5">
        <f>50+45</f>
        <v>95</v>
      </c>
      <c r="I77" s="5"/>
      <c r="J77" s="6">
        <v>110</v>
      </c>
      <c r="K77" s="6">
        <v>36</v>
      </c>
      <c r="L77" s="6">
        <f>(12.5+(97.5-36)*0.7)</f>
        <v>55.55</v>
      </c>
    </row>
    <row r="78" spans="1:13">
      <c r="A78" s="44" t="s">
        <v>129</v>
      </c>
      <c r="B78" s="4">
        <v>44348</v>
      </c>
      <c r="C78" s="4">
        <v>44389</v>
      </c>
      <c r="D78" s="5" t="s">
        <v>160</v>
      </c>
      <c r="E78" s="49">
        <v>12.5</v>
      </c>
      <c r="F78" s="5">
        <v>26.22</v>
      </c>
      <c r="G78" s="5">
        <f>71/30*42</f>
        <v>99.4</v>
      </c>
      <c r="H78" s="5">
        <f>50+45</f>
        <v>95</v>
      </c>
      <c r="I78" s="5"/>
      <c r="J78" s="6">
        <v>140</v>
      </c>
      <c r="K78" s="6">
        <v>71</v>
      </c>
      <c r="L78" s="6">
        <f>(12.5+(127.5-71)*0.7)</f>
        <v>52.05</v>
      </c>
    </row>
    <row r="79" spans="1:13">
      <c r="A79" s="44" t="s">
        <v>124</v>
      </c>
      <c r="B79" s="4">
        <v>44348</v>
      </c>
      <c r="C79" s="4">
        <v>44389</v>
      </c>
      <c r="D79" s="40"/>
      <c r="E79" s="2"/>
      <c r="F79" s="5">
        <v>11.62</v>
      </c>
      <c r="G79" s="5">
        <f>26/30*42</f>
        <v>36.4</v>
      </c>
      <c r="H79" s="5">
        <v>65</v>
      </c>
      <c r="I79" s="5"/>
      <c r="J79" s="6">
        <v>70</v>
      </c>
      <c r="K79" s="6">
        <v>26</v>
      </c>
      <c r="L79" s="6">
        <f>(70-26)*0.7</f>
        <v>30.799999999999997</v>
      </c>
    </row>
    <row r="80" spans="1:13">
      <c r="A80" s="44" t="s">
        <v>132</v>
      </c>
      <c r="B80" s="4">
        <v>44407</v>
      </c>
      <c r="C80" s="4">
        <v>44461</v>
      </c>
      <c r="D80" s="40"/>
      <c r="E80" s="2"/>
      <c r="F80" s="5">
        <v>9.8800000000000008</v>
      </c>
      <c r="G80" s="5">
        <f>25/30*52</f>
        <v>43.333333333333336</v>
      </c>
      <c r="H80" s="5"/>
      <c r="I80" s="5"/>
      <c r="J80" s="6">
        <v>70</v>
      </c>
      <c r="K80" s="6">
        <v>25</v>
      </c>
      <c r="L80" s="6">
        <f>45*0.7</f>
        <v>31.499999999999996</v>
      </c>
    </row>
    <row r="81" spans="1:12">
      <c r="A81" s="44" t="s">
        <v>133</v>
      </c>
      <c r="B81" s="4">
        <v>44432</v>
      </c>
      <c r="C81" s="4">
        <v>44467</v>
      </c>
      <c r="D81" s="40"/>
      <c r="E81" s="2"/>
      <c r="F81" s="5">
        <v>9.8800000000000008</v>
      </c>
      <c r="G81" s="5">
        <f>25/30*34</f>
        <v>28.333333333333336</v>
      </c>
      <c r="H81" s="5"/>
      <c r="I81" s="5"/>
      <c r="J81" s="6">
        <v>70</v>
      </c>
      <c r="K81" s="6">
        <v>25</v>
      </c>
      <c r="L81" s="6">
        <f>45*0.7</f>
        <v>31.499999999999996</v>
      </c>
    </row>
    <row r="82" spans="1:12">
      <c r="A82" s="44" t="s">
        <v>135</v>
      </c>
      <c r="B82" s="35">
        <v>44460</v>
      </c>
      <c r="C82" s="35">
        <v>44475</v>
      </c>
      <c r="D82" s="40"/>
      <c r="E82" s="2"/>
      <c r="F82" s="5">
        <v>19.760000000000002</v>
      </c>
      <c r="G82" s="5">
        <f>43/30*15</f>
        <v>21.5</v>
      </c>
      <c r="H82" s="5">
        <v>65</v>
      </c>
      <c r="I82" s="5"/>
      <c r="J82" s="6">
        <v>90</v>
      </c>
      <c r="K82" s="6">
        <v>43</v>
      </c>
      <c r="L82" s="6">
        <f>(J82-K82)*0.7</f>
        <v>32.9</v>
      </c>
    </row>
    <row r="83" spans="1:12">
      <c r="A83" s="44" t="s">
        <v>141</v>
      </c>
      <c r="B83" s="35">
        <v>44459</v>
      </c>
      <c r="C83" s="35">
        <v>44481</v>
      </c>
      <c r="D83" s="10" t="s">
        <v>161</v>
      </c>
      <c r="E83" s="12">
        <v>10</v>
      </c>
      <c r="F83" s="5">
        <v>15.15</v>
      </c>
      <c r="G83" s="5">
        <f>46/30*22</f>
        <v>33.733333333333334</v>
      </c>
      <c r="H83" s="5">
        <v>80</v>
      </c>
      <c r="I83" s="5"/>
      <c r="J83" s="6">
        <v>120</v>
      </c>
      <c r="K83" s="6">
        <v>46</v>
      </c>
      <c r="L83" s="6">
        <f>10+(120-56)*0.7</f>
        <v>54.8</v>
      </c>
    </row>
    <row r="84" spans="1:12">
      <c r="A84" s="44" t="s">
        <v>140</v>
      </c>
      <c r="B84" s="35">
        <v>44449</v>
      </c>
      <c r="C84" s="35">
        <v>44482</v>
      </c>
      <c r="D84" s="5" t="s">
        <v>160</v>
      </c>
      <c r="E84" s="49">
        <v>10</v>
      </c>
      <c r="F84" s="5">
        <v>13.4</v>
      </c>
      <c r="G84" s="5">
        <f>60/30*33</f>
        <v>66</v>
      </c>
      <c r="H84" s="5">
        <v>80</v>
      </c>
      <c r="I84" s="5"/>
      <c r="J84" s="6">
        <v>120</v>
      </c>
      <c r="K84" s="6">
        <v>61</v>
      </c>
      <c r="L84" s="6">
        <f>(10+49*0.7)</f>
        <v>44.3</v>
      </c>
    </row>
    <row r="85" spans="1:12">
      <c r="A85" s="44" t="s">
        <v>137</v>
      </c>
      <c r="B85" s="35">
        <v>44474</v>
      </c>
      <c r="C85" s="35">
        <v>44487</v>
      </c>
      <c r="D85" s="10" t="s">
        <v>161</v>
      </c>
      <c r="E85" s="12">
        <v>12.5</v>
      </c>
      <c r="F85" s="5">
        <v>15.15</v>
      </c>
      <c r="G85" s="5">
        <f>71/30*13</f>
        <v>30.766666666666666</v>
      </c>
      <c r="H85" s="5">
        <v>95</v>
      </c>
      <c r="I85" s="5"/>
      <c r="J85" s="6">
        <v>140</v>
      </c>
      <c r="K85" s="6">
        <v>71</v>
      </c>
      <c r="L85" s="6">
        <f>12.5+(56.5)*0.7</f>
        <v>52.05</v>
      </c>
    </row>
    <row r="86" spans="1:12">
      <c r="A86" s="44" t="s">
        <v>143</v>
      </c>
      <c r="B86" s="35">
        <v>43717</v>
      </c>
      <c r="C86" s="35">
        <v>44505</v>
      </c>
      <c r="D86" s="40"/>
      <c r="E86" s="49"/>
      <c r="F86" s="5">
        <v>13.4</v>
      </c>
      <c r="G86" s="5">
        <f>36*25+36/30*26</f>
        <v>931.2</v>
      </c>
      <c r="H86" s="5"/>
      <c r="I86" s="5"/>
      <c r="J86" s="6">
        <v>110</v>
      </c>
      <c r="K86" s="6">
        <v>36</v>
      </c>
      <c r="L86" s="6">
        <f>(110-36)*0.7</f>
        <v>51.8</v>
      </c>
    </row>
    <row r="87" spans="1:12">
      <c r="A87" s="44" t="s">
        <v>139</v>
      </c>
      <c r="B87" s="35">
        <v>44492</v>
      </c>
      <c r="C87" s="35">
        <v>44539</v>
      </c>
      <c r="D87" s="40"/>
      <c r="E87" s="49"/>
      <c r="F87" s="5">
        <v>16.350000000000001</v>
      </c>
      <c r="G87" s="5">
        <f>71/30*46</f>
        <v>108.86666666666667</v>
      </c>
      <c r="H87" s="5">
        <v>95</v>
      </c>
      <c r="I87" s="5"/>
      <c r="J87" s="6">
        <v>140</v>
      </c>
      <c r="K87" s="6">
        <v>71</v>
      </c>
      <c r="L87" s="6">
        <f>(140-71)*0.7/30*21</f>
        <v>33.809999999999995</v>
      </c>
    </row>
    <row r="88" spans="1:12">
      <c r="A88" s="44" t="s">
        <v>144</v>
      </c>
      <c r="B88" s="35">
        <v>44526</v>
      </c>
      <c r="C88" s="35">
        <v>44550</v>
      </c>
      <c r="D88" s="5" t="s">
        <v>160</v>
      </c>
      <c r="E88" s="49">
        <v>12.5</v>
      </c>
      <c r="F88" s="5">
        <v>13.4</v>
      </c>
      <c r="G88" s="5">
        <f>83/30*24</f>
        <v>66.400000000000006</v>
      </c>
      <c r="H88" s="5"/>
      <c r="I88" s="5"/>
      <c r="J88" s="6">
        <v>160</v>
      </c>
      <c r="K88" s="6">
        <v>94</v>
      </c>
      <c r="L88" s="6">
        <f>15+(160-15-94)*0.7/30*10</f>
        <v>26.9</v>
      </c>
    </row>
    <row r="89" spans="1:12">
      <c r="A89" s="44" t="s">
        <v>149</v>
      </c>
      <c r="B89" s="35">
        <v>44880</v>
      </c>
      <c r="C89" s="35">
        <v>44575</v>
      </c>
      <c r="D89" s="40"/>
      <c r="E89" s="49"/>
      <c r="F89" s="5">
        <v>13.4</v>
      </c>
      <c r="G89" s="5"/>
      <c r="H89" s="5">
        <v>50</v>
      </c>
      <c r="I89" s="5"/>
      <c r="J89" s="6">
        <v>140</v>
      </c>
      <c r="K89" s="6">
        <f>71</f>
        <v>71</v>
      </c>
      <c r="L89" s="6">
        <f>(140-71)*0.7</f>
        <v>48.3</v>
      </c>
    </row>
    <row r="90" spans="1:12">
      <c r="A90" s="44" t="s">
        <v>146</v>
      </c>
      <c r="B90" s="4">
        <v>44586</v>
      </c>
      <c r="C90" s="4">
        <v>44615</v>
      </c>
      <c r="D90" s="10" t="s">
        <v>161</v>
      </c>
      <c r="E90" s="12">
        <v>12.5</v>
      </c>
      <c r="F90" s="5">
        <v>15.46</v>
      </c>
      <c r="G90" s="5">
        <f>27/30*28</f>
        <v>25.2</v>
      </c>
      <c r="H90" s="5">
        <v>110</v>
      </c>
      <c r="I90" s="5"/>
      <c r="J90" s="6">
        <v>124</v>
      </c>
      <c r="K90" s="6">
        <v>51</v>
      </c>
      <c r="L90" s="6">
        <f>12.5+(124-63.5)*0.7</f>
        <v>54.849999999999994</v>
      </c>
    </row>
    <row r="91" spans="1:12">
      <c r="A91" s="44" t="s">
        <v>148</v>
      </c>
      <c r="B91" s="4">
        <v>44579</v>
      </c>
      <c r="C91" s="4">
        <v>44594</v>
      </c>
      <c r="D91" s="40"/>
      <c r="E91" s="49"/>
      <c r="F91" s="5">
        <v>13.4</v>
      </c>
      <c r="G91" s="5">
        <f>22/30*14</f>
        <v>10.266666666666666</v>
      </c>
      <c r="H91" s="5">
        <v>30</v>
      </c>
      <c r="I91" s="5"/>
      <c r="J91" s="6">
        <v>50</v>
      </c>
      <c r="K91" s="6">
        <v>22</v>
      </c>
      <c r="L91" s="6">
        <f>(50-22)*0.7</f>
        <v>19.599999999999998</v>
      </c>
    </row>
    <row r="92" spans="1:12">
      <c r="A92" s="44" t="s">
        <v>150</v>
      </c>
      <c r="B92" s="4">
        <v>44899</v>
      </c>
      <c r="C92" s="4">
        <v>44607</v>
      </c>
      <c r="D92" s="12" t="s">
        <v>160</v>
      </c>
      <c r="E92" s="12">
        <v>12.5</v>
      </c>
      <c r="F92" s="5">
        <v>13.4</v>
      </c>
      <c r="G92" s="5">
        <f>71/30*61</f>
        <v>144.36666666666667</v>
      </c>
      <c r="H92" s="5">
        <v>80</v>
      </c>
      <c r="I92" s="5"/>
      <c r="J92" s="6">
        <v>120</v>
      </c>
      <c r="K92" s="6">
        <v>60</v>
      </c>
      <c r="L92" s="6">
        <f>12.5+(120-72.5)*0.7</f>
        <v>45.75</v>
      </c>
    </row>
    <row r="93" spans="1:12">
      <c r="A93" s="44" t="s">
        <v>151</v>
      </c>
      <c r="B93" s="4">
        <v>44926</v>
      </c>
      <c r="C93" s="4">
        <v>44649</v>
      </c>
      <c r="D93" s="40"/>
      <c r="E93" s="40"/>
      <c r="F93" s="5">
        <v>9.0299999999999994</v>
      </c>
      <c r="G93" s="5">
        <f>25*2+25/30*29</f>
        <v>74.166666666666671</v>
      </c>
      <c r="H93" s="5">
        <v>80</v>
      </c>
      <c r="I93" s="5"/>
      <c r="J93" s="6">
        <v>67.5</v>
      </c>
      <c r="K93" s="6">
        <v>25</v>
      </c>
      <c r="L93" s="6">
        <f>(67.5-25)*0.7</f>
        <v>29.749999999999996</v>
      </c>
    </row>
    <row r="94" spans="1:12">
      <c r="A94" s="44" t="s">
        <v>152</v>
      </c>
      <c r="B94" s="4">
        <v>44852</v>
      </c>
      <c r="C94" s="4">
        <v>44649</v>
      </c>
      <c r="D94" s="40"/>
      <c r="E94" s="40"/>
      <c r="F94" s="5">
        <v>9.0299999999999994</v>
      </c>
      <c r="G94" s="5">
        <f>45*4+45/30*13</f>
        <v>199.5</v>
      </c>
      <c r="H94" s="5">
        <v>80</v>
      </c>
      <c r="I94" s="5"/>
      <c r="J94" s="6">
        <v>67.5</v>
      </c>
      <c r="K94" s="6">
        <v>45</v>
      </c>
      <c r="L94" s="6">
        <f>(J94-K94)*0.7</f>
        <v>15.749999999999998</v>
      </c>
    </row>
    <row r="95" spans="1:12">
      <c r="A95" s="44" t="s">
        <v>153</v>
      </c>
      <c r="B95" s="4">
        <v>44623</v>
      </c>
      <c r="C95" s="4">
        <v>44623</v>
      </c>
      <c r="D95" s="40"/>
      <c r="E95" s="40"/>
      <c r="F95" s="5">
        <v>11.03</v>
      </c>
      <c r="G95" s="5">
        <v>0</v>
      </c>
      <c r="H95" s="5">
        <v>15</v>
      </c>
      <c r="I95" s="5"/>
      <c r="J95" s="6">
        <v>30</v>
      </c>
      <c r="K95" s="6">
        <v>12</v>
      </c>
      <c r="L95" s="6">
        <f>(J95-K95)*0.7</f>
        <v>12.6</v>
      </c>
    </row>
    <row r="96" spans="1:12">
      <c r="A96" s="44" t="s">
        <v>154</v>
      </c>
      <c r="B96" s="4">
        <v>44881</v>
      </c>
      <c r="C96" s="4">
        <v>44628</v>
      </c>
      <c r="D96" s="40"/>
      <c r="E96" s="40"/>
      <c r="F96" s="5">
        <v>9.0299999999999994</v>
      </c>
      <c r="G96" s="5">
        <f>65*3+65/30*22</f>
        <v>242.66666666666666</v>
      </c>
      <c r="H96" s="5">
        <v>95</v>
      </c>
      <c r="I96" s="5"/>
      <c r="J96" s="6">
        <v>112</v>
      </c>
      <c r="K96" s="6">
        <v>65</v>
      </c>
      <c r="L96" s="6">
        <f>(J96-K96)*0.7</f>
        <v>32.9</v>
      </c>
    </row>
    <row r="97" spans="1:12">
      <c r="A97" s="44" t="s">
        <v>155</v>
      </c>
      <c r="B97" s="4">
        <v>44490</v>
      </c>
      <c r="C97" s="4">
        <v>44648</v>
      </c>
      <c r="D97" s="40"/>
      <c r="E97" s="40"/>
      <c r="F97" s="5">
        <v>13.4</v>
      </c>
      <c r="G97" s="5">
        <f>45*5+45/30*7</f>
        <v>235.5</v>
      </c>
      <c r="H97" s="5">
        <v>80</v>
      </c>
      <c r="I97" s="5"/>
      <c r="J97" s="6">
        <v>67.5</v>
      </c>
      <c r="K97" s="6">
        <v>45</v>
      </c>
      <c r="L97" s="6">
        <f>(J97-K97)*0.7</f>
        <v>15.749999999999998</v>
      </c>
    </row>
    <row r="98" spans="1:12">
      <c r="A98" s="52" t="s">
        <v>156</v>
      </c>
      <c r="B98" s="24">
        <v>44489</v>
      </c>
      <c r="C98" s="24">
        <v>44651</v>
      </c>
      <c r="D98" s="48"/>
      <c r="E98" s="48"/>
      <c r="F98" s="25">
        <v>15.46</v>
      </c>
      <c r="G98" s="25">
        <f>50*5+50/10</f>
        <v>255</v>
      </c>
      <c r="H98" s="25">
        <v>145</v>
      </c>
      <c r="I98" s="25"/>
      <c r="J98" s="27">
        <v>125</v>
      </c>
      <c r="K98" s="27">
        <v>50</v>
      </c>
      <c r="L98" s="27">
        <f>(J98-K98)*0.7</f>
        <v>52.5</v>
      </c>
    </row>
    <row r="99" spans="1:12">
      <c r="A99" s="52" t="s">
        <v>157</v>
      </c>
      <c r="B99" s="24">
        <v>44627</v>
      </c>
      <c r="C99" s="24">
        <v>44627</v>
      </c>
      <c r="D99" s="10" t="s">
        <v>161</v>
      </c>
      <c r="E99" s="12">
        <v>10</v>
      </c>
      <c r="F99" s="25">
        <v>15.46</v>
      </c>
      <c r="G99" s="25">
        <v>0</v>
      </c>
      <c r="H99" s="25">
        <v>0</v>
      </c>
      <c r="I99" s="25"/>
      <c r="J99" s="27">
        <v>100</v>
      </c>
      <c r="K99" s="27">
        <v>44</v>
      </c>
      <c r="L99" s="27">
        <f>10+(46)*0.7</f>
        <v>42.199999999999996</v>
      </c>
    </row>
    <row r="100" spans="1:12">
      <c r="A100" s="52" t="s">
        <v>158</v>
      </c>
      <c r="B100" s="24">
        <v>44627</v>
      </c>
      <c r="C100" s="24">
        <v>44627</v>
      </c>
      <c r="D100" s="38" t="s">
        <v>161</v>
      </c>
      <c r="E100" s="54">
        <v>12.5</v>
      </c>
      <c r="F100" s="25">
        <v>15.46</v>
      </c>
      <c r="G100" s="25">
        <v>0</v>
      </c>
      <c r="H100" s="25">
        <v>0</v>
      </c>
      <c r="I100" s="25"/>
      <c r="J100" s="27">
        <v>125</v>
      </c>
      <c r="K100" s="27">
        <v>55</v>
      </c>
      <c r="L100" s="27">
        <f>12.5+(57.5)*0.7</f>
        <v>52.75</v>
      </c>
    </row>
    <row r="101" spans="1:12">
      <c r="A101" s="44" t="s">
        <v>168</v>
      </c>
      <c r="B101" s="4">
        <v>44636</v>
      </c>
      <c r="C101" s="4">
        <v>44659</v>
      </c>
      <c r="D101" s="40"/>
      <c r="E101" s="5"/>
      <c r="F101" s="5">
        <v>13.72</v>
      </c>
      <c r="G101" s="5">
        <f>55/30*24</f>
        <v>44</v>
      </c>
      <c r="H101" s="5">
        <v>80</v>
      </c>
      <c r="I101" s="5"/>
      <c r="J101" s="6">
        <v>120</v>
      </c>
      <c r="K101" s="6">
        <v>55</v>
      </c>
      <c r="L101" s="6">
        <f>10+(110-K101)*0.7</f>
        <v>48.5</v>
      </c>
    </row>
    <row r="102" spans="1:12">
      <c r="A102" s="10" t="s">
        <v>171</v>
      </c>
      <c r="B102" s="4">
        <v>44648</v>
      </c>
      <c r="C102" s="4">
        <v>44734</v>
      </c>
      <c r="D102" s="40"/>
      <c r="E102" s="5"/>
      <c r="F102" s="5">
        <v>13.72</v>
      </c>
      <c r="G102" s="5">
        <f>56/30*84</f>
        <v>156.80000000000001</v>
      </c>
      <c r="H102" s="5">
        <v>95</v>
      </c>
      <c r="I102" s="5"/>
      <c r="J102" s="6">
        <v>140</v>
      </c>
      <c r="K102" s="6">
        <v>56</v>
      </c>
      <c r="L102" s="6">
        <f>(140-56)*0.7/30*8</f>
        <v>15.68</v>
      </c>
    </row>
    <row r="103" spans="1:12">
      <c r="A103" s="10" t="s">
        <v>172</v>
      </c>
      <c r="B103" s="4">
        <v>44705</v>
      </c>
      <c r="C103" s="4">
        <v>44715</v>
      </c>
      <c r="D103" s="40"/>
      <c r="E103" s="5"/>
      <c r="F103" s="5">
        <v>10.039999999999999</v>
      </c>
      <c r="G103" s="5">
        <f>25/30*9</f>
        <v>7.5</v>
      </c>
      <c r="H103" s="5"/>
      <c r="I103" s="5"/>
      <c r="J103" s="6">
        <v>50</v>
      </c>
      <c r="K103" s="6">
        <v>25</v>
      </c>
      <c r="L103" s="6">
        <f>(50-25)*0.7/30*27</f>
        <v>15.750000000000002</v>
      </c>
    </row>
    <row r="104" spans="1:12">
      <c r="A104" s="10" t="s">
        <v>173</v>
      </c>
      <c r="B104" s="4">
        <v>44704</v>
      </c>
      <c r="C104" s="4">
        <v>44721</v>
      </c>
      <c r="D104" s="10" t="s">
        <v>161</v>
      </c>
      <c r="E104" s="12">
        <v>10</v>
      </c>
      <c r="F104" s="5">
        <v>13.72</v>
      </c>
      <c r="G104" s="5">
        <f>37/30*16</f>
        <v>19.733333333333334</v>
      </c>
      <c r="H104" s="5">
        <f>50+45</f>
        <v>95</v>
      </c>
      <c r="I104" s="5"/>
      <c r="J104" s="6">
        <v>110</v>
      </c>
      <c r="K104" s="6">
        <v>37</v>
      </c>
      <c r="L104" s="6">
        <f>10/30*9+(100-37)*0.7/30*9</f>
        <v>16.229999999999997</v>
      </c>
    </row>
    <row r="105" spans="1:12">
      <c r="A105" s="28"/>
      <c r="B105" s="36"/>
      <c r="C105" s="36"/>
      <c r="D105" s="28"/>
      <c r="E105" s="28"/>
      <c r="F105" s="30"/>
      <c r="G105" s="28"/>
      <c r="H105" s="30"/>
      <c r="K105" s="50" t="s">
        <v>4</v>
      </c>
      <c r="L105" s="50">
        <f>SUM(L2:L104)</f>
        <v>3756.2700000000013</v>
      </c>
    </row>
    <row r="106" spans="1:12">
      <c r="A106" s="28"/>
      <c r="C106" s="15"/>
      <c r="D106" s="1"/>
      <c r="E106" s="1"/>
      <c r="F106" s="1"/>
      <c r="G106" s="1"/>
      <c r="H106" s="1"/>
      <c r="I106" s="1"/>
      <c r="J106" s="1"/>
      <c r="K106" s="29"/>
      <c r="L106" s="29"/>
    </row>
    <row r="108" spans="1:12">
      <c r="F108" s="30"/>
    </row>
    <row r="109" spans="1:12">
      <c r="G109" s="42"/>
    </row>
    <row r="110" spans="1:12">
      <c r="J110" t="s">
        <v>169</v>
      </c>
    </row>
    <row r="111" spans="1:12">
      <c r="J111" t="s">
        <v>170</v>
      </c>
    </row>
  </sheetData>
  <autoFilter ref="A1:N1">
    <sortState ref="A2:M104">
      <sortCondition ref="C1"/>
    </sortState>
  </autoFilter>
  <pageMargins left="0.7" right="0.7" top="0.75" bottom="0.75" header="0.3" footer="0.3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>
  <dimension ref="A1:N111"/>
  <sheetViews>
    <sheetView topLeftCell="A98" workbookViewId="0">
      <selection activeCell="A102" sqref="A102:A104"/>
    </sheetView>
  </sheetViews>
  <sheetFormatPr baseColWidth="10" defaultRowHeight="15"/>
  <cols>
    <col min="1" max="1" width="26.5703125" customWidth="1"/>
    <col min="2" max="2" width="22.85546875" customWidth="1"/>
  </cols>
  <sheetData>
    <row r="1" spans="1:13" ht="60">
      <c r="A1" s="2"/>
      <c r="B1" s="3" t="s">
        <v>0</v>
      </c>
      <c r="C1" s="3" t="s">
        <v>1</v>
      </c>
      <c r="D1" s="3" t="s">
        <v>159</v>
      </c>
      <c r="E1" s="3" t="s">
        <v>162</v>
      </c>
      <c r="F1" s="3" t="s">
        <v>3</v>
      </c>
      <c r="G1" s="3" t="s">
        <v>11</v>
      </c>
      <c r="H1" s="3" t="s">
        <v>36</v>
      </c>
      <c r="I1" s="3" t="s">
        <v>12</v>
      </c>
      <c r="J1" s="3" t="s">
        <v>5</v>
      </c>
      <c r="K1" s="3" t="s">
        <v>7</v>
      </c>
      <c r="L1" s="3" t="s">
        <v>8</v>
      </c>
      <c r="M1" s="14" t="s">
        <v>35</v>
      </c>
    </row>
    <row r="2" spans="1:13">
      <c r="A2" s="2" t="s">
        <v>10</v>
      </c>
      <c r="B2" s="4">
        <v>41852</v>
      </c>
      <c r="C2" s="4">
        <v>41852</v>
      </c>
      <c r="D2" s="5"/>
      <c r="E2" s="49"/>
      <c r="F2" s="5">
        <v>10</v>
      </c>
      <c r="G2" s="5"/>
      <c r="H2" s="5"/>
      <c r="I2" s="5">
        <f>D2+F2+H2</f>
        <v>10</v>
      </c>
      <c r="J2" s="6">
        <v>40</v>
      </c>
      <c r="K2" s="6">
        <v>25</v>
      </c>
      <c r="L2" s="6">
        <f t="shared" ref="L2:L55" si="0">(J2-K2)*0.7</f>
        <v>10.5</v>
      </c>
    </row>
    <row r="3" spans="1:13">
      <c r="A3" s="2" t="s">
        <v>17</v>
      </c>
      <c r="B3" s="4"/>
      <c r="C3" s="4">
        <v>42209</v>
      </c>
      <c r="D3" s="5"/>
      <c r="E3" s="49"/>
      <c r="F3" s="5"/>
      <c r="G3" s="5"/>
      <c r="H3" s="5"/>
      <c r="I3" s="5"/>
      <c r="J3" s="6">
        <v>90</v>
      </c>
      <c r="K3" s="6">
        <v>25</v>
      </c>
      <c r="L3" s="6">
        <f t="shared" si="0"/>
        <v>45.5</v>
      </c>
    </row>
    <row r="4" spans="1:13">
      <c r="A4" s="2" t="s">
        <v>15</v>
      </c>
      <c r="B4" s="4">
        <v>42272</v>
      </c>
      <c r="C4" s="4">
        <v>42275</v>
      </c>
      <c r="D4" s="5">
        <v>50</v>
      </c>
      <c r="E4" s="49"/>
      <c r="F4" s="5"/>
      <c r="G4" s="5">
        <f>25/30*3</f>
        <v>2.5</v>
      </c>
      <c r="H4" s="5"/>
      <c r="I4" s="5">
        <f>D4+F4+H4</f>
        <v>50</v>
      </c>
      <c r="J4" s="6">
        <v>40</v>
      </c>
      <c r="K4" s="6">
        <v>25</v>
      </c>
      <c r="L4" s="6">
        <f t="shared" si="0"/>
        <v>10.5</v>
      </c>
    </row>
    <row r="5" spans="1:13">
      <c r="A5" s="2" t="s">
        <v>18</v>
      </c>
      <c r="B5" s="2"/>
      <c r="C5" s="4">
        <v>42335</v>
      </c>
      <c r="D5" s="5"/>
      <c r="E5" s="49"/>
      <c r="F5" s="5"/>
      <c r="G5" s="5"/>
      <c r="H5" s="5"/>
      <c r="I5" s="5"/>
      <c r="J5" s="6">
        <v>90</v>
      </c>
      <c r="K5" s="6">
        <v>25</v>
      </c>
      <c r="L5" s="6">
        <f t="shared" si="0"/>
        <v>45.5</v>
      </c>
    </row>
    <row r="6" spans="1:13">
      <c r="A6" s="2" t="s">
        <v>16</v>
      </c>
      <c r="B6" s="2"/>
      <c r="C6" s="4">
        <v>42396</v>
      </c>
      <c r="D6" s="5"/>
      <c r="E6" s="49"/>
      <c r="F6" s="5"/>
      <c r="G6" s="5"/>
      <c r="H6" s="5"/>
      <c r="I6" s="5"/>
      <c r="J6" s="6">
        <v>90</v>
      </c>
      <c r="K6" s="6">
        <v>25</v>
      </c>
      <c r="L6" s="6">
        <f t="shared" si="0"/>
        <v>45.5</v>
      </c>
    </row>
    <row r="7" spans="1:13">
      <c r="A7" s="2" t="s">
        <v>22</v>
      </c>
      <c r="B7" s="4">
        <v>42546</v>
      </c>
      <c r="C7" s="4">
        <v>42571</v>
      </c>
      <c r="D7" s="5"/>
      <c r="E7" s="49"/>
      <c r="F7" s="5">
        <f>6.9+8.5</f>
        <v>15.4</v>
      </c>
      <c r="G7" s="5">
        <f>25*25/30</f>
        <v>20.833333333333332</v>
      </c>
      <c r="H7" s="5"/>
      <c r="I7" s="5"/>
      <c r="J7" s="6">
        <v>120</v>
      </c>
      <c r="K7" s="6">
        <v>25</v>
      </c>
      <c r="L7" s="6">
        <f t="shared" si="0"/>
        <v>66.5</v>
      </c>
    </row>
    <row r="8" spans="1:13">
      <c r="A8" s="2" t="s">
        <v>23</v>
      </c>
      <c r="B8" s="4">
        <v>42560</v>
      </c>
      <c r="C8" s="4">
        <v>42571</v>
      </c>
      <c r="D8" s="5"/>
      <c r="E8" s="49"/>
      <c r="F8" s="5">
        <v>8.5</v>
      </c>
      <c r="G8" s="5">
        <f>25*41/30</f>
        <v>34.166666666666664</v>
      </c>
      <c r="H8" s="5"/>
      <c r="I8" s="5"/>
      <c r="J8" s="6">
        <v>107.5</v>
      </c>
      <c r="K8" s="6">
        <v>25</v>
      </c>
      <c r="L8" s="6">
        <f t="shared" si="0"/>
        <v>57.749999999999993</v>
      </c>
    </row>
    <row r="9" spans="1:13">
      <c r="A9" s="2" t="s">
        <v>24</v>
      </c>
      <c r="B9" s="4">
        <v>42530</v>
      </c>
      <c r="C9" s="4">
        <v>42579</v>
      </c>
      <c r="D9" s="5"/>
      <c r="E9" s="49"/>
      <c r="F9" s="5">
        <f>8.5+6.9</f>
        <v>15.4</v>
      </c>
      <c r="G9" s="5">
        <f>25*52/30</f>
        <v>43.333333333333336</v>
      </c>
      <c r="H9" s="5"/>
      <c r="I9" s="5"/>
      <c r="J9" s="6">
        <v>90</v>
      </c>
      <c r="K9" s="6">
        <v>25</v>
      </c>
      <c r="L9" s="6">
        <f t="shared" si="0"/>
        <v>45.5</v>
      </c>
    </row>
    <row r="10" spans="1:13">
      <c r="A10" s="2" t="s">
        <v>26</v>
      </c>
      <c r="B10" s="4">
        <v>42633</v>
      </c>
      <c r="C10" s="4">
        <v>42644</v>
      </c>
      <c r="D10" s="5"/>
      <c r="E10" s="49"/>
      <c r="F10" s="5">
        <v>8.17</v>
      </c>
      <c r="G10" s="5">
        <f>25/30*10</f>
        <v>8.3333333333333339</v>
      </c>
      <c r="H10" s="5"/>
      <c r="I10" s="5"/>
      <c r="J10" s="6">
        <v>70</v>
      </c>
      <c r="K10" s="6">
        <v>25</v>
      </c>
      <c r="L10" s="6">
        <f t="shared" si="0"/>
        <v>31.499999999999996</v>
      </c>
    </row>
    <row r="11" spans="1:13">
      <c r="A11" s="2" t="s">
        <v>27</v>
      </c>
      <c r="B11" s="4">
        <v>42656</v>
      </c>
      <c r="C11" s="4">
        <v>42705</v>
      </c>
      <c r="D11" s="5"/>
      <c r="E11" s="49"/>
      <c r="F11" s="5">
        <v>8.17</v>
      </c>
      <c r="G11" s="5">
        <f>K11/30*47</f>
        <v>39.166666666666671</v>
      </c>
      <c r="H11" s="5"/>
      <c r="I11" s="5"/>
      <c r="J11" s="6">
        <v>40</v>
      </c>
      <c r="K11" s="6">
        <v>25</v>
      </c>
      <c r="L11" s="6">
        <f t="shared" si="0"/>
        <v>10.5</v>
      </c>
    </row>
    <row r="12" spans="1:13">
      <c r="A12" s="2" t="s">
        <v>29</v>
      </c>
      <c r="B12" s="4">
        <v>42683</v>
      </c>
      <c r="C12" s="4">
        <v>42718</v>
      </c>
      <c r="D12" s="5"/>
      <c r="E12" s="49"/>
      <c r="F12" s="5">
        <v>8.9700000000000006</v>
      </c>
      <c r="G12" s="5">
        <f>K12/30*35</f>
        <v>42</v>
      </c>
      <c r="H12" s="5"/>
      <c r="I12" s="5"/>
      <c r="J12" s="6">
        <f>105</f>
        <v>105</v>
      </c>
      <c r="K12" s="6">
        <v>36</v>
      </c>
      <c r="L12" s="6">
        <f t="shared" si="0"/>
        <v>48.3</v>
      </c>
    </row>
    <row r="13" spans="1:13">
      <c r="A13" s="2" t="s">
        <v>28</v>
      </c>
      <c r="B13" s="4">
        <v>42711</v>
      </c>
      <c r="C13" s="4">
        <v>42734</v>
      </c>
      <c r="D13" s="5"/>
      <c r="E13" s="49"/>
      <c r="F13" s="5">
        <v>8.17</v>
      </c>
      <c r="G13" s="5">
        <f>K13/30*23</f>
        <v>19.166666666666668</v>
      </c>
      <c r="H13" s="5"/>
      <c r="I13" s="5"/>
      <c r="J13" s="6">
        <v>40</v>
      </c>
      <c r="K13" s="6">
        <v>25</v>
      </c>
      <c r="L13" s="6">
        <f t="shared" si="0"/>
        <v>10.5</v>
      </c>
    </row>
    <row r="14" spans="1:13">
      <c r="A14" s="2" t="s">
        <v>30</v>
      </c>
      <c r="B14" s="4">
        <v>42732</v>
      </c>
      <c r="C14" s="4">
        <v>42759</v>
      </c>
      <c r="D14" s="5"/>
      <c r="E14" s="49"/>
      <c r="F14" s="5">
        <v>18.8</v>
      </c>
      <c r="G14" s="5">
        <f>K14/30*27</f>
        <v>23.400000000000002</v>
      </c>
      <c r="H14" s="5"/>
      <c r="I14" s="5"/>
      <c r="J14" s="6">
        <v>90</v>
      </c>
      <c r="K14" s="6">
        <v>26</v>
      </c>
      <c r="L14" s="6">
        <f t="shared" si="0"/>
        <v>44.8</v>
      </c>
    </row>
    <row r="15" spans="1:13">
      <c r="A15" s="2" t="s">
        <v>31</v>
      </c>
      <c r="B15" s="4">
        <v>42735</v>
      </c>
      <c r="C15" s="4">
        <v>42782</v>
      </c>
      <c r="D15" s="5">
        <v>50</v>
      </c>
      <c r="E15" s="49"/>
      <c r="F15" s="5">
        <v>20.63</v>
      </c>
      <c r="G15" s="5">
        <f>K15/30*46</f>
        <v>42.933333333333337</v>
      </c>
      <c r="H15" s="5"/>
      <c r="I15" s="5"/>
      <c r="J15" s="6">
        <v>92</v>
      </c>
      <c r="K15" s="6">
        <v>28</v>
      </c>
      <c r="L15" s="6">
        <f t="shared" si="0"/>
        <v>44.8</v>
      </c>
    </row>
    <row r="16" spans="1:13">
      <c r="A16" s="2" t="s">
        <v>32</v>
      </c>
      <c r="B16" s="4">
        <v>42857</v>
      </c>
      <c r="C16" s="4">
        <v>42866</v>
      </c>
      <c r="D16" s="5"/>
      <c r="E16" s="49"/>
      <c r="F16" s="5"/>
      <c r="G16" s="5">
        <f>23/30*9</f>
        <v>6.9</v>
      </c>
      <c r="H16" s="5">
        <f>60*0.7</f>
        <v>42</v>
      </c>
      <c r="I16" s="5"/>
      <c r="J16" s="6">
        <v>60</v>
      </c>
      <c r="K16" s="6">
        <v>23</v>
      </c>
      <c r="L16" s="6">
        <f t="shared" si="0"/>
        <v>25.9</v>
      </c>
    </row>
    <row r="17" spans="1:13">
      <c r="A17" s="2" t="s">
        <v>37</v>
      </c>
      <c r="B17" s="4">
        <v>42891</v>
      </c>
      <c r="C17" s="4">
        <v>42915</v>
      </c>
      <c r="D17" s="5"/>
      <c r="E17" s="49"/>
      <c r="F17" s="5">
        <v>6.83</v>
      </c>
      <c r="G17" s="5">
        <f>24/30*24</f>
        <v>19.200000000000003</v>
      </c>
      <c r="H17" s="5"/>
      <c r="I17" s="5"/>
      <c r="J17" s="6">
        <v>70</v>
      </c>
      <c r="K17" s="6">
        <v>24</v>
      </c>
      <c r="L17" s="6">
        <f t="shared" si="0"/>
        <v>32.199999999999996</v>
      </c>
    </row>
    <row r="18" spans="1:13">
      <c r="A18" s="2" t="s">
        <v>39</v>
      </c>
      <c r="B18" s="4">
        <v>43081</v>
      </c>
      <c r="C18" s="4">
        <v>43109</v>
      </c>
      <c r="D18" s="5"/>
      <c r="E18" s="49"/>
      <c r="F18" s="5">
        <v>9.83</v>
      </c>
      <c r="G18" s="5">
        <f>36/30*28</f>
        <v>33.6</v>
      </c>
      <c r="H18" s="5"/>
      <c r="I18" s="5"/>
      <c r="J18" s="6">
        <v>120</v>
      </c>
      <c r="K18" s="6">
        <v>36</v>
      </c>
      <c r="L18" s="6">
        <f t="shared" si="0"/>
        <v>58.8</v>
      </c>
    </row>
    <row r="19" spans="1:13">
      <c r="A19" s="22" t="s">
        <v>56</v>
      </c>
      <c r="B19" s="4">
        <v>43361</v>
      </c>
      <c r="C19" s="4">
        <v>43132</v>
      </c>
      <c r="D19" s="5"/>
      <c r="E19" s="49"/>
      <c r="F19" s="5">
        <v>14.11</v>
      </c>
      <c r="G19" s="5">
        <f>25*4+25/30*12</f>
        <v>110</v>
      </c>
      <c r="H19" s="5"/>
      <c r="I19" s="5"/>
      <c r="J19" s="6">
        <v>75</v>
      </c>
      <c r="K19" s="6">
        <v>25</v>
      </c>
      <c r="L19" s="6">
        <f t="shared" si="0"/>
        <v>35</v>
      </c>
    </row>
    <row r="20" spans="1:13">
      <c r="A20" s="2" t="s">
        <v>40</v>
      </c>
      <c r="B20" s="4">
        <v>43106</v>
      </c>
      <c r="C20" s="4">
        <v>43146</v>
      </c>
      <c r="D20" s="5"/>
      <c r="E20" s="49"/>
      <c r="F20" s="5">
        <v>8.2899999999999991</v>
      </c>
      <c r="G20" s="5">
        <f>25/30*39</f>
        <v>32.5</v>
      </c>
      <c r="H20" s="5"/>
      <c r="I20" s="5"/>
      <c r="J20" s="6">
        <v>70</v>
      </c>
      <c r="K20" s="6">
        <v>26</v>
      </c>
      <c r="L20" s="6">
        <f t="shared" si="0"/>
        <v>30.799999999999997</v>
      </c>
    </row>
    <row r="21" spans="1:13">
      <c r="A21" s="9" t="s">
        <v>44</v>
      </c>
      <c r="B21" s="4">
        <v>43196</v>
      </c>
      <c r="C21" s="4">
        <v>43250</v>
      </c>
      <c r="D21" s="5"/>
      <c r="E21" s="49"/>
      <c r="F21" s="5">
        <v>13.78</v>
      </c>
      <c r="G21" s="5">
        <f>25*24/30+25</f>
        <v>45</v>
      </c>
      <c r="H21" s="5"/>
      <c r="I21" s="5"/>
      <c r="J21" s="6">
        <f>60</f>
        <v>60</v>
      </c>
      <c r="K21" s="6">
        <v>25</v>
      </c>
      <c r="L21" s="6">
        <f t="shared" si="0"/>
        <v>24.5</v>
      </c>
    </row>
    <row r="22" spans="1:13">
      <c r="A22" s="22" t="s">
        <v>47</v>
      </c>
      <c r="B22" s="4">
        <v>43355</v>
      </c>
      <c r="C22" s="4">
        <v>43277</v>
      </c>
      <c r="D22" s="5"/>
      <c r="E22" s="49"/>
      <c r="F22" s="5">
        <v>19.98</v>
      </c>
      <c r="G22" s="5">
        <f>36*2+36/30*16</f>
        <v>91.2</v>
      </c>
      <c r="H22" s="5"/>
      <c r="I22" s="5"/>
      <c r="J22" s="6">
        <v>105</v>
      </c>
      <c r="K22" s="6">
        <v>36</v>
      </c>
      <c r="L22" s="6">
        <f t="shared" si="0"/>
        <v>48.3</v>
      </c>
    </row>
    <row r="23" spans="1:13">
      <c r="A23" s="22" t="s">
        <v>48</v>
      </c>
      <c r="B23" s="4">
        <v>43367</v>
      </c>
      <c r="C23" s="4">
        <v>43284</v>
      </c>
      <c r="D23" s="5"/>
      <c r="E23" s="49"/>
      <c r="F23" s="5">
        <v>9.1</v>
      </c>
      <c r="G23" s="5">
        <f>25+25/30*27</f>
        <v>47.5</v>
      </c>
      <c r="H23" s="5"/>
      <c r="I23" s="5"/>
      <c r="J23" s="6">
        <v>75</v>
      </c>
      <c r="K23" s="6">
        <v>25</v>
      </c>
      <c r="L23" s="6">
        <f t="shared" si="0"/>
        <v>35</v>
      </c>
    </row>
    <row r="24" spans="1:13">
      <c r="A24" s="2" t="s">
        <v>45</v>
      </c>
      <c r="B24" s="4"/>
      <c r="C24" s="4">
        <v>43286</v>
      </c>
      <c r="D24" s="5"/>
      <c r="E24" s="49"/>
      <c r="F24" s="5">
        <v>11.56</v>
      </c>
      <c r="G24" s="5"/>
      <c r="H24" s="5"/>
      <c r="I24" s="5"/>
      <c r="J24" s="6">
        <v>150</v>
      </c>
      <c r="K24" s="6">
        <v>76</v>
      </c>
      <c r="L24" s="6">
        <f t="shared" si="0"/>
        <v>51.8</v>
      </c>
      <c r="M24" s="20"/>
    </row>
    <row r="25" spans="1:13">
      <c r="A25" s="22" t="s">
        <v>49</v>
      </c>
      <c r="B25" s="4">
        <v>43367</v>
      </c>
      <c r="C25" s="4">
        <v>43291</v>
      </c>
      <c r="D25" s="5"/>
      <c r="E25" s="49"/>
      <c r="F25" s="5">
        <v>10.039999999999999</v>
      </c>
      <c r="G25" s="5">
        <f>50+25/30*14</f>
        <v>61.666666666666671</v>
      </c>
      <c r="H25" s="5"/>
      <c r="I25" s="5"/>
      <c r="J25" s="6">
        <v>70</v>
      </c>
      <c r="K25" s="6">
        <v>25</v>
      </c>
      <c r="L25" s="6">
        <f t="shared" si="0"/>
        <v>31.499999999999996</v>
      </c>
    </row>
    <row r="26" spans="1:13">
      <c r="A26" s="22" t="s">
        <v>51</v>
      </c>
      <c r="B26" s="4">
        <v>43358</v>
      </c>
      <c r="C26" s="4">
        <v>43291</v>
      </c>
      <c r="D26" s="5"/>
      <c r="E26" s="49"/>
      <c r="F26" s="5">
        <v>10.039999999999999</v>
      </c>
      <c r="G26" s="5">
        <f>50+25/30*5</f>
        <v>54.166666666666664</v>
      </c>
      <c r="H26" s="5"/>
      <c r="I26" s="5"/>
      <c r="J26" s="6">
        <v>75</v>
      </c>
      <c r="K26" s="6">
        <v>25</v>
      </c>
      <c r="L26" s="6">
        <f t="shared" si="0"/>
        <v>35</v>
      </c>
    </row>
    <row r="27" spans="1:13">
      <c r="A27" s="22" t="s">
        <v>52</v>
      </c>
      <c r="B27" s="4">
        <v>43367</v>
      </c>
      <c r="C27" s="4">
        <v>43308</v>
      </c>
      <c r="D27" s="5"/>
      <c r="E27" s="49"/>
      <c r="F27" s="5">
        <v>10.86</v>
      </c>
      <c r="G27" s="5">
        <f>25+25/30*27</f>
        <v>47.5</v>
      </c>
      <c r="H27" s="5"/>
      <c r="I27" s="5"/>
      <c r="J27" s="6">
        <v>75</v>
      </c>
      <c r="K27" s="18">
        <v>25</v>
      </c>
      <c r="L27" s="18">
        <f t="shared" si="0"/>
        <v>35</v>
      </c>
    </row>
    <row r="28" spans="1:13">
      <c r="A28" s="22" t="s">
        <v>50</v>
      </c>
      <c r="B28" s="4">
        <v>43367</v>
      </c>
      <c r="C28" s="4">
        <v>43312</v>
      </c>
      <c r="D28" s="5"/>
      <c r="E28" s="49"/>
      <c r="F28" s="5">
        <v>10.86</v>
      </c>
      <c r="G28" s="5">
        <f>25+25/30*24</f>
        <v>45</v>
      </c>
      <c r="H28" s="5"/>
      <c r="I28" s="5"/>
      <c r="J28" s="6">
        <v>70</v>
      </c>
      <c r="K28" s="18">
        <v>25</v>
      </c>
      <c r="L28" s="18">
        <f t="shared" si="0"/>
        <v>31.499999999999996</v>
      </c>
    </row>
    <row r="29" spans="1:13">
      <c r="A29" s="22" t="s">
        <v>55</v>
      </c>
      <c r="B29" s="4">
        <v>43363</v>
      </c>
      <c r="C29" s="4">
        <v>43440</v>
      </c>
      <c r="D29" s="5"/>
      <c r="E29" s="49"/>
      <c r="F29" s="5">
        <v>14.11</v>
      </c>
      <c r="G29" s="5">
        <f>25*2+25*16/30</f>
        <v>63.333333333333336</v>
      </c>
      <c r="H29" s="5"/>
      <c r="I29" s="5"/>
      <c r="J29" s="6">
        <v>75</v>
      </c>
      <c r="K29" s="18">
        <v>25</v>
      </c>
      <c r="L29" s="18">
        <f t="shared" si="0"/>
        <v>35</v>
      </c>
    </row>
    <row r="30" spans="1:13">
      <c r="A30" s="22" t="s">
        <v>54</v>
      </c>
      <c r="B30" s="4">
        <v>43167</v>
      </c>
      <c r="C30" s="4">
        <v>43455</v>
      </c>
      <c r="D30" s="5"/>
      <c r="E30" s="49"/>
      <c r="F30" s="5">
        <v>10.86</v>
      </c>
      <c r="G30" s="5">
        <f>9*25+25*13/30</f>
        <v>235.83333333333334</v>
      </c>
      <c r="H30" s="5"/>
      <c r="I30" s="5"/>
      <c r="J30" s="6">
        <v>90</v>
      </c>
      <c r="K30" s="18">
        <v>36</v>
      </c>
      <c r="L30" s="18">
        <f t="shared" si="0"/>
        <v>37.799999999999997</v>
      </c>
    </row>
    <row r="31" spans="1:13">
      <c r="A31" s="22" t="s">
        <v>57</v>
      </c>
      <c r="B31" s="4">
        <v>43478</v>
      </c>
      <c r="C31" s="4">
        <v>43536</v>
      </c>
      <c r="D31" s="5"/>
      <c r="E31" s="49"/>
      <c r="F31" s="5">
        <v>10.86</v>
      </c>
      <c r="G31" s="5">
        <v>25</v>
      </c>
      <c r="H31" s="5"/>
      <c r="I31" s="5"/>
      <c r="J31" s="6">
        <v>70</v>
      </c>
      <c r="K31" s="6">
        <v>25</v>
      </c>
      <c r="L31" s="6">
        <f t="shared" si="0"/>
        <v>31.499999999999996</v>
      </c>
    </row>
    <row r="32" spans="1:13">
      <c r="A32" s="22" t="s">
        <v>59</v>
      </c>
      <c r="B32" s="4">
        <v>43528</v>
      </c>
      <c r="C32" s="4">
        <v>43538</v>
      </c>
      <c r="D32" s="5"/>
      <c r="E32" s="49"/>
      <c r="F32" s="5">
        <v>14.92</v>
      </c>
      <c r="G32" s="5">
        <f>77/30*10</f>
        <v>25.666666666666668</v>
      </c>
      <c r="H32" s="5"/>
      <c r="I32" s="5"/>
      <c r="J32" s="6">
        <v>169</v>
      </c>
      <c r="K32" s="6">
        <f>64+11+2</f>
        <v>77</v>
      </c>
      <c r="L32" s="6">
        <f t="shared" si="0"/>
        <v>64.399999999999991</v>
      </c>
    </row>
    <row r="33" spans="1:13">
      <c r="A33" s="22" t="s">
        <v>58</v>
      </c>
      <c r="B33" s="4">
        <v>43534</v>
      </c>
      <c r="C33" s="4">
        <v>43542</v>
      </c>
      <c r="D33" s="5"/>
      <c r="E33" s="49"/>
      <c r="F33" s="5">
        <f>10.86*2</f>
        <v>21.72</v>
      </c>
      <c r="G33" s="5">
        <v>0</v>
      </c>
      <c r="H33" s="5"/>
      <c r="I33" s="5"/>
      <c r="J33" s="6">
        <v>120</v>
      </c>
      <c r="K33" s="6">
        <f>60+11</f>
        <v>71</v>
      </c>
      <c r="L33" s="6">
        <f t="shared" si="0"/>
        <v>34.299999999999997</v>
      </c>
    </row>
    <row r="34" spans="1:13">
      <c r="A34" s="22" t="s">
        <v>61</v>
      </c>
      <c r="B34" s="4">
        <v>43482</v>
      </c>
      <c r="C34" s="4">
        <v>43542</v>
      </c>
      <c r="D34" s="5"/>
      <c r="E34" s="49"/>
      <c r="F34" s="5">
        <v>11.1</v>
      </c>
      <c r="G34" s="5">
        <f>25*2</f>
        <v>50</v>
      </c>
      <c r="H34" s="5"/>
      <c r="I34" s="5"/>
      <c r="J34" s="6">
        <v>70</v>
      </c>
      <c r="K34" s="6">
        <v>26</v>
      </c>
      <c r="L34" s="6">
        <f t="shared" si="0"/>
        <v>30.799999999999997</v>
      </c>
    </row>
    <row r="35" spans="1:13">
      <c r="A35" s="22" t="s">
        <v>63</v>
      </c>
      <c r="B35" s="4">
        <v>43593</v>
      </c>
      <c r="C35" s="4">
        <v>43605</v>
      </c>
      <c r="D35" s="5"/>
      <c r="E35" s="49"/>
      <c r="F35" s="5">
        <f>10.86*2+20</f>
        <v>41.72</v>
      </c>
      <c r="G35" s="5">
        <f>18/30*12</f>
        <v>7.1999999999999993</v>
      </c>
      <c r="H35" s="5"/>
      <c r="I35" s="5"/>
      <c r="J35" s="6">
        <v>100</v>
      </c>
      <c r="K35" s="6">
        <f>11+7</f>
        <v>18</v>
      </c>
      <c r="L35" s="6">
        <f t="shared" si="0"/>
        <v>57.4</v>
      </c>
    </row>
    <row r="36" spans="1:13">
      <c r="A36" s="22" t="s">
        <v>67</v>
      </c>
      <c r="B36" s="4">
        <v>43600</v>
      </c>
      <c r="C36" s="4">
        <v>43629</v>
      </c>
      <c r="D36" s="5"/>
      <c r="E36" s="49"/>
      <c r="F36" s="5">
        <f>10.86*2</f>
        <v>21.72</v>
      </c>
      <c r="G36" s="5">
        <f>22/30*58</f>
        <v>42.533333333333331</v>
      </c>
      <c r="H36" s="5">
        <v>50</v>
      </c>
      <c r="I36" s="5">
        <f>F36+G36+H36</f>
        <v>114.25333333333333</v>
      </c>
      <c r="J36" s="6">
        <v>60</v>
      </c>
      <c r="K36" s="6">
        <v>25</v>
      </c>
      <c r="L36" s="6">
        <v>0</v>
      </c>
    </row>
    <row r="37" spans="1:13">
      <c r="A37" s="22" t="s">
        <v>66</v>
      </c>
      <c r="B37" s="4">
        <v>43600</v>
      </c>
      <c r="C37" s="4">
        <v>43629</v>
      </c>
      <c r="D37" s="5"/>
      <c r="E37" s="49"/>
      <c r="F37" s="5">
        <f>10.86</f>
        <v>10.86</v>
      </c>
      <c r="G37" s="5">
        <f>39/30*58</f>
        <v>75.400000000000006</v>
      </c>
      <c r="H37" s="5"/>
      <c r="I37" s="5">
        <f>F37+G37</f>
        <v>86.26</v>
      </c>
      <c r="J37" s="6">
        <v>110</v>
      </c>
      <c r="K37" s="6">
        <f>25+11+3</f>
        <v>39</v>
      </c>
      <c r="L37" s="6">
        <v>0</v>
      </c>
      <c r="M37" t="s">
        <v>73</v>
      </c>
    </row>
    <row r="38" spans="1:13">
      <c r="A38" s="22" t="s">
        <v>64</v>
      </c>
      <c r="B38" s="4">
        <v>43627</v>
      </c>
      <c r="C38" s="4">
        <v>43629</v>
      </c>
      <c r="D38" s="5"/>
      <c r="E38" s="49"/>
      <c r="F38" s="5">
        <v>10.86</v>
      </c>
      <c r="G38" s="5">
        <f>25/30*2</f>
        <v>1.6666666666666667</v>
      </c>
      <c r="H38" s="5"/>
      <c r="I38" s="5">
        <f>F38+G38</f>
        <v>12.526666666666666</v>
      </c>
      <c r="J38" s="6">
        <v>75</v>
      </c>
      <c r="K38" s="6">
        <v>33</v>
      </c>
      <c r="L38" s="6">
        <f t="shared" si="0"/>
        <v>29.4</v>
      </c>
    </row>
    <row r="39" spans="1:13">
      <c r="A39" s="22" t="s">
        <v>65</v>
      </c>
      <c r="B39" s="4">
        <v>43622</v>
      </c>
      <c r="C39" s="4">
        <v>43650</v>
      </c>
      <c r="D39" s="5"/>
      <c r="E39" s="49"/>
      <c r="F39" s="5">
        <v>10.86</v>
      </c>
      <c r="G39" s="5"/>
      <c r="H39" s="5"/>
      <c r="I39" s="5"/>
      <c r="J39" s="6">
        <v>120</v>
      </c>
      <c r="K39" s="6">
        <v>60</v>
      </c>
      <c r="L39" s="6">
        <f t="shared" si="0"/>
        <v>42</v>
      </c>
    </row>
    <row r="40" spans="1:13">
      <c r="A40" s="22" t="s">
        <v>71</v>
      </c>
      <c r="B40" s="4">
        <v>43635</v>
      </c>
      <c r="C40" s="4">
        <v>43662</v>
      </c>
      <c r="D40" s="5"/>
      <c r="E40" s="49"/>
      <c r="F40" s="5">
        <f>10.86*2</f>
        <v>21.72</v>
      </c>
      <c r="G40" s="5"/>
      <c r="H40" s="5"/>
      <c r="I40" s="5"/>
      <c r="J40" s="6">
        <v>70</v>
      </c>
      <c r="K40" s="6">
        <v>26</v>
      </c>
      <c r="L40" s="6">
        <f t="shared" si="0"/>
        <v>30.799999999999997</v>
      </c>
      <c r="M40" t="s">
        <v>72</v>
      </c>
    </row>
    <row r="41" spans="1:13">
      <c r="A41" s="22" t="s">
        <v>77</v>
      </c>
      <c r="B41" s="4">
        <v>43682</v>
      </c>
      <c r="C41" s="4">
        <v>43682</v>
      </c>
      <c r="D41" s="5"/>
      <c r="E41" s="49"/>
      <c r="F41" s="5"/>
      <c r="G41" s="5"/>
      <c r="H41" s="5"/>
      <c r="I41" s="5"/>
      <c r="J41" s="6">
        <v>10</v>
      </c>
      <c r="K41" s="6">
        <v>1</v>
      </c>
      <c r="L41" s="6">
        <f t="shared" si="0"/>
        <v>6.3</v>
      </c>
    </row>
    <row r="42" spans="1:13">
      <c r="A42" s="2" t="s">
        <v>74</v>
      </c>
      <c r="B42" s="4">
        <v>43661</v>
      </c>
      <c r="C42" s="4">
        <v>43711</v>
      </c>
      <c r="D42" s="5"/>
      <c r="E42" s="49"/>
      <c r="F42" s="5">
        <v>10.86</v>
      </c>
      <c r="G42" s="5">
        <f>36/30*48</f>
        <v>57.599999999999994</v>
      </c>
      <c r="H42" s="5"/>
      <c r="I42" s="5"/>
      <c r="J42" s="6">
        <v>105</v>
      </c>
      <c r="K42" s="6">
        <v>36</v>
      </c>
      <c r="L42" s="6">
        <f t="shared" si="0"/>
        <v>48.3</v>
      </c>
    </row>
    <row r="43" spans="1:13">
      <c r="A43" s="2" t="s">
        <v>75</v>
      </c>
      <c r="B43" s="4">
        <v>43656</v>
      </c>
      <c r="C43" s="4">
        <v>43711</v>
      </c>
      <c r="D43" s="5"/>
      <c r="E43" s="49"/>
      <c r="F43" s="5">
        <v>10.86</v>
      </c>
      <c r="G43" s="5">
        <f>36/30*48</f>
        <v>57.599999999999994</v>
      </c>
      <c r="H43" s="5"/>
      <c r="I43" s="5"/>
      <c r="J43" s="6">
        <v>105</v>
      </c>
      <c r="K43" s="6">
        <v>36</v>
      </c>
      <c r="L43" s="18">
        <f t="shared" si="0"/>
        <v>48.3</v>
      </c>
    </row>
    <row r="44" spans="1:13">
      <c r="A44" s="2" t="s">
        <v>76</v>
      </c>
      <c r="B44" s="4">
        <v>43677</v>
      </c>
      <c r="C44" s="4">
        <v>43713</v>
      </c>
      <c r="D44" s="5"/>
      <c r="E44" s="49"/>
      <c r="F44" s="5">
        <v>24.06</v>
      </c>
      <c r="G44" s="5">
        <f>80/30*35</f>
        <v>93.333333333333329</v>
      </c>
      <c r="H44" s="5">
        <v>40</v>
      </c>
      <c r="I44" s="5"/>
      <c r="J44" s="6">
        <v>149</v>
      </c>
      <c r="K44" s="6">
        <v>80</v>
      </c>
      <c r="L44" s="6">
        <f t="shared" si="0"/>
        <v>48.3</v>
      </c>
      <c r="M44" t="s">
        <v>79</v>
      </c>
    </row>
    <row r="45" spans="1:13">
      <c r="A45" s="22" t="s">
        <v>78</v>
      </c>
      <c r="B45" s="4">
        <v>43747</v>
      </c>
      <c r="C45" s="4">
        <v>43789</v>
      </c>
      <c r="D45" s="5"/>
      <c r="E45" s="49"/>
      <c r="F45" s="5">
        <f>9.51+9.44</f>
        <v>18.95</v>
      </c>
      <c r="G45" s="5">
        <f>52/30*41</f>
        <v>71.066666666666663</v>
      </c>
      <c r="H45" s="5"/>
      <c r="I45" s="5"/>
      <c r="J45" s="17">
        <v>99</v>
      </c>
      <c r="K45" s="18">
        <f>52</f>
        <v>52</v>
      </c>
      <c r="L45" s="6">
        <f t="shared" si="0"/>
        <v>32.9</v>
      </c>
    </row>
    <row r="46" spans="1:13">
      <c r="A46" s="2" t="s">
        <v>81</v>
      </c>
      <c r="B46" s="4">
        <v>43788</v>
      </c>
      <c r="C46" s="4">
        <v>43865</v>
      </c>
      <c r="D46" s="5"/>
      <c r="E46" s="49"/>
      <c r="F46" s="5">
        <v>9.14</v>
      </c>
      <c r="G46" s="5">
        <f>25/30*45</f>
        <v>37.5</v>
      </c>
      <c r="H46" s="5"/>
      <c r="I46" s="5"/>
      <c r="J46" s="6">
        <v>90</v>
      </c>
      <c r="K46" s="6">
        <v>25</v>
      </c>
      <c r="L46" s="27">
        <f t="shared" si="0"/>
        <v>45.5</v>
      </c>
    </row>
    <row r="47" spans="1:13">
      <c r="A47" s="22" t="s">
        <v>87</v>
      </c>
      <c r="B47" s="35">
        <v>43878</v>
      </c>
      <c r="C47" s="35">
        <v>43892</v>
      </c>
      <c r="D47" s="5"/>
      <c r="E47" s="49"/>
      <c r="F47" s="5">
        <v>12.19</v>
      </c>
      <c r="G47" s="5">
        <v>5.5</v>
      </c>
      <c r="H47" s="5"/>
      <c r="I47" s="5"/>
      <c r="J47" s="6">
        <v>25</v>
      </c>
      <c r="K47" s="6">
        <v>11</v>
      </c>
      <c r="L47" s="6">
        <f t="shared" si="0"/>
        <v>9.7999999999999989</v>
      </c>
    </row>
    <row r="48" spans="1:13">
      <c r="A48" s="22" t="s">
        <v>89</v>
      </c>
      <c r="B48" s="35">
        <v>43908</v>
      </c>
      <c r="C48" s="35">
        <v>43893</v>
      </c>
      <c r="D48" s="5"/>
      <c r="E48" s="49"/>
      <c r="F48" s="5">
        <v>9.6</v>
      </c>
      <c r="G48" s="5">
        <v>5.5</v>
      </c>
      <c r="H48" s="5"/>
      <c r="I48" s="5"/>
      <c r="J48" s="6">
        <v>25</v>
      </c>
      <c r="K48" s="6">
        <v>11</v>
      </c>
      <c r="L48" s="6">
        <f t="shared" si="0"/>
        <v>9.7999999999999989</v>
      </c>
    </row>
    <row r="49" spans="1:14">
      <c r="A49" s="22" t="s">
        <v>85</v>
      </c>
      <c r="B49" s="35">
        <v>43881</v>
      </c>
      <c r="C49" s="35">
        <v>43895</v>
      </c>
      <c r="D49" s="5"/>
      <c r="E49" s="49"/>
      <c r="F49" s="5">
        <v>9.14</v>
      </c>
      <c r="G49" s="5">
        <f>11/30*15</f>
        <v>5.5</v>
      </c>
      <c r="H49" s="5"/>
      <c r="I49" s="5"/>
      <c r="J49" s="6">
        <v>25</v>
      </c>
      <c r="K49" s="6">
        <v>11</v>
      </c>
      <c r="L49" s="6">
        <f t="shared" si="0"/>
        <v>9.7999999999999989</v>
      </c>
    </row>
    <row r="50" spans="1:14">
      <c r="A50" s="22" t="s">
        <v>86</v>
      </c>
      <c r="B50" s="35">
        <v>43882</v>
      </c>
      <c r="C50" s="35">
        <v>43896</v>
      </c>
      <c r="D50" s="5"/>
      <c r="E50" s="49"/>
      <c r="F50" s="5">
        <v>12.19</v>
      </c>
      <c r="G50" s="5">
        <f>22/2</f>
        <v>11</v>
      </c>
      <c r="H50" s="5"/>
      <c r="I50" s="5"/>
      <c r="J50" s="6">
        <v>60</v>
      </c>
      <c r="K50" s="6">
        <v>22</v>
      </c>
      <c r="L50" s="6">
        <f t="shared" si="0"/>
        <v>26.599999999999998</v>
      </c>
    </row>
    <row r="51" spans="1:14">
      <c r="A51" s="22" t="s">
        <v>82</v>
      </c>
      <c r="B51" s="45">
        <v>40235</v>
      </c>
      <c r="C51" s="35">
        <v>43901</v>
      </c>
      <c r="D51" s="5"/>
      <c r="E51" s="49"/>
      <c r="F51" s="5">
        <v>9.6</v>
      </c>
      <c r="G51" s="5">
        <f>11/2</f>
        <v>5.5</v>
      </c>
      <c r="H51" s="5"/>
      <c r="I51" s="5"/>
      <c r="J51" s="6">
        <v>25</v>
      </c>
      <c r="K51" s="6">
        <v>11</v>
      </c>
      <c r="L51" s="6">
        <f t="shared" si="0"/>
        <v>9.7999999999999989</v>
      </c>
    </row>
    <row r="52" spans="1:14">
      <c r="A52" s="22" t="s">
        <v>84</v>
      </c>
      <c r="B52" s="35">
        <v>43889</v>
      </c>
      <c r="C52" s="35">
        <v>43903</v>
      </c>
      <c r="D52" s="5"/>
      <c r="E52" s="49"/>
      <c r="F52" s="5">
        <v>9.14</v>
      </c>
      <c r="G52" s="5">
        <f>11/30*15</f>
        <v>5.5</v>
      </c>
      <c r="H52" s="5"/>
      <c r="I52" s="5"/>
      <c r="J52" s="6">
        <v>25</v>
      </c>
      <c r="K52" s="6">
        <v>11</v>
      </c>
      <c r="L52" s="6">
        <f t="shared" si="0"/>
        <v>9.7999999999999989</v>
      </c>
    </row>
    <row r="53" spans="1:14">
      <c r="A53" s="22" t="s">
        <v>80</v>
      </c>
      <c r="B53" s="35">
        <v>43873</v>
      </c>
      <c r="C53" s="35">
        <v>43910</v>
      </c>
      <c r="D53" s="5"/>
      <c r="E53" s="49"/>
      <c r="F53" s="5">
        <v>21.84</v>
      </c>
      <c r="G53" s="5">
        <f>56/30*38</f>
        <v>70.933333333333337</v>
      </c>
      <c r="H53" s="5"/>
      <c r="I53" s="5"/>
      <c r="J53" s="6">
        <v>120</v>
      </c>
      <c r="K53" s="6">
        <v>56</v>
      </c>
      <c r="L53" s="6">
        <f t="shared" si="0"/>
        <v>44.8</v>
      </c>
    </row>
    <row r="54" spans="1:14">
      <c r="A54" s="22" t="s">
        <v>83</v>
      </c>
      <c r="B54" s="35">
        <v>43872</v>
      </c>
      <c r="C54" s="35">
        <v>43913</v>
      </c>
      <c r="D54" s="5"/>
      <c r="E54" s="49"/>
      <c r="F54" s="5">
        <v>12.24</v>
      </c>
      <c r="G54" s="5">
        <f>45/30*42</f>
        <v>63</v>
      </c>
      <c r="H54" s="5"/>
      <c r="I54" s="5"/>
      <c r="J54" s="6">
        <v>85</v>
      </c>
      <c r="K54" s="6">
        <v>45</v>
      </c>
      <c r="L54" s="6">
        <f t="shared" si="0"/>
        <v>28</v>
      </c>
    </row>
    <row r="55" spans="1:14">
      <c r="A55" s="22" t="s">
        <v>88</v>
      </c>
      <c r="B55" s="35">
        <v>43855</v>
      </c>
      <c r="C55" s="35">
        <v>43941</v>
      </c>
      <c r="D55" s="5"/>
      <c r="E55" s="49"/>
      <c r="F55" s="5">
        <v>13.93</v>
      </c>
      <c r="G55" s="5">
        <f>56/30*85</f>
        <v>158.66666666666666</v>
      </c>
      <c r="H55" s="5"/>
      <c r="I55" s="5"/>
      <c r="J55" s="6">
        <v>110</v>
      </c>
      <c r="K55" s="6">
        <v>56</v>
      </c>
      <c r="L55" s="6">
        <f t="shared" si="0"/>
        <v>37.799999999999997</v>
      </c>
    </row>
    <row r="56" spans="1:14">
      <c r="A56" s="22" t="s">
        <v>90</v>
      </c>
      <c r="B56" s="35" t="s">
        <v>96</v>
      </c>
      <c r="C56" s="35">
        <v>44015</v>
      </c>
      <c r="D56" s="5" t="s">
        <v>160</v>
      </c>
      <c r="E56" s="49">
        <v>12.5</v>
      </c>
      <c r="F56" s="5">
        <v>11.29</v>
      </c>
      <c r="G56" s="5">
        <f>100</f>
        <v>100</v>
      </c>
      <c r="H56" s="5"/>
      <c r="I56" s="5"/>
      <c r="J56" s="6">
        <v>75</v>
      </c>
      <c r="K56" s="6">
        <f>25+11</f>
        <v>36</v>
      </c>
      <c r="L56" s="6">
        <f>12.5+(62.5-K56)*0.7</f>
        <v>31.049999999999997</v>
      </c>
      <c r="N56" s="41"/>
    </row>
    <row r="57" spans="1:14">
      <c r="A57" s="22" t="s">
        <v>97</v>
      </c>
      <c r="B57" s="35">
        <v>43990</v>
      </c>
      <c r="C57" s="35">
        <v>44036</v>
      </c>
      <c r="D57" s="5"/>
      <c r="E57" s="49"/>
      <c r="F57" s="5">
        <v>8.75</v>
      </c>
      <c r="G57" s="5">
        <f>56/30*46</f>
        <v>85.866666666666674</v>
      </c>
      <c r="H57" s="5"/>
      <c r="I57" s="5"/>
      <c r="J57" s="6">
        <v>110</v>
      </c>
      <c r="K57" s="6">
        <f>45+11</f>
        <v>56</v>
      </c>
      <c r="L57" s="6">
        <f>(J57-K57)*0.7</f>
        <v>37.799999999999997</v>
      </c>
    </row>
    <row r="58" spans="1:14">
      <c r="A58" s="22" t="s">
        <v>95</v>
      </c>
      <c r="B58" s="35">
        <v>44028</v>
      </c>
      <c r="C58" s="35">
        <v>44040</v>
      </c>
      <c r="D58" s="5"/>
      <c r="E58" s="49"/>
      <c r="F58" s="5">
        <v>8.75</v>
      </c>
      <c r="G58" s="5">
        <f>41/30*12</f>
        <v>16.399999999999999</v>
      </c>
      <c r="H58" s="5"/>
      <c r="I58" s="5"/>
      <c r="J58" s="6">
        <v>60</v>
      </c>
      <c r="K58" s="6">
        <v>41</v>
      </c>
      <c r="L58" s="6">
        <f>(J58-K58)*0.7</f>
        <v>13.299999999999999</v>
      </c>
    </row>
    <row r="59" spans="1:14">
      <c r="A59" s="22" t="s">
        <v>93</v>
      </c>
      <c r="B59" s="35">
        <v>44043</v>
      </c>
      <c r="C59" s="35">
        <v>44043</v>
      </c>
      <c r="D59" s="5" t="s">
        <v>160</v>
      </c>
      <c r="E59" s="49">
        <v>15</v>
      </c>
      <c r="F59" s="5">
        <v>27.02</v>
      </c>
      <c r="G59" s="5">
        <v>0</v>
      </c>
      <c r="H59" s="5"/>
      <c r="I59" s="5"/>
      <c r="J59" s="6">
        <v>160</v>
      </c>
      <c r="K59" s="6">
        <f>45+22</f>
        <v>67</v>
      </c>
      <c r="L59" s="6">
        <f>15+78*0.7</f>
        <v>69.599999999999994</v>
      </c>
      <c r="N59" s="41"/>
    </row>
    <row r="60" spans="1:14">
      <c r="A60" s="22" t="s">
        <v>98</v>
      </c>
      <c r="B60" s="35">
        <v>44048</v>
      </c>
      <c r="C60" s="35">
        <v>44081</v>
      </c>
      <c r="D60" s="5" t="s">
        <v>160</v>
      </c>
      <c r="E60" s="49">
        <v>17.5</v>
      </c>
      <c r="F60" s="5">
        <v>27.88</v>
      </c>
      <c r="G60" s="5">
        <f>58/30*32</f>
        <v>61.866666666666667</v>
      </c>
      <c r="H60" s="5">
        <v>125</v>
      </c>
      <c r="I60" s="5"/>
      <c r="J60" s="6">
        <v>140</v>
      </c>
      <c r="K60" s="6">
        <f>25+33</f>
        <v>58</v>
      </c>
      <c r="L60" s="6">
        <f>17.5+64.5*0.7</f>
        <v>62.65</v>
      </c>
      <c r="N60" s="41"/>
    </row>
    <row r="61" spans="1:14">
      <c r="A61" s="22" t="s">
        <v>91</v>
      </c>
      <c r="B61" s="35">
        <v>44011</v>
      </c>
      <c r="C61" s="35">
        <v>44084</v>
      </c>
      <c r="D61" s="5"/>
      <c r="E61" s="49"/>
      <c r="F61" s="5">
        <v>11.29</v>
      </c>
      <c r="G61" s="5">
        <f>25/30*71</f>
        <v>59.166666666666671</v>
      </c>
      <c r="H61" s="5"/>
      <c r="I61" s="5"/>
      <c r="J61" s="6">
        <v>40</v>
      </c>
      <c r="K61" s="6">
        <v>25</v>
      </c>
      <c r="L61" s="6">
        <f>(J61-K61)*0.7</f>
        <v>10.5</v>
      </c>
    </row>
    <row r="62" spans="1:14">
      <c r="A62" s="2" t="s">
        <v>99</v>
      </c>
      <c r="B62" s="35">
        <v>44084</v>
      </c>
      <c r="C62" s="35">
        <v>44105</v>
      </c>
      <c r="D62" s="5" t="s">
        <v>160</v>
      </c>
      <c r="E62" s="49">
        <v>5</v>
      </c>
      <c r="F62" s="5">
        <v>12.24</v>
      </c>
      <c r="G62" s="5">
        <f>25/30*20</f>
        <v>16.666666666666668</v>
      </c>
      <c r="H62" s="5"/>
      <c r="I62" s="5"/>
      <c r="J62" s="43">
        <v>40</v>
      </c>
      <c r="K62" s="6">
        <v>22</v>
      </c>
      <c r="L62" s="6">
        <f>5+13*0.7</f>
        <v>14.1</v>
      </c>
      <c r="N62" s="41"/>
    </row>
    <row r="63" spans="1:14">
      <c r="A63" s="2" t="s">
        <v>102</v>
      </c>
      <c r="B63" s="4" t="s">
        <v>103</v>
      </c>
      <c r="C63" s="4">
        <v>44110</v>
      </c>
      <c r="D63" s="5" t="s">
        <v>160</v>
      </c>
      <c r="E63" s="49">
        <v>10</v>
      </c>
      <c r="F63" s="5">
        <v>36.65</v>
      </c>
      <c r="G63" s="5">
        <f>115/30*26</f>
        <v>99.666666666666671</v>
      </c>
      <c r="H63" s="5"/>
      <c r="I63" s="5"/>
      <c r="J63" s="6">
        <v>180</v>
      </c>
      <c r="K63" s="6">
        <v>115</v>
      </c>
      <c r="L63" s="6">
        <f>10+55*0.7</f>
        <v>48.5</v>
      </c>
      <c r="N63" s="41"/>
    </row>
    <row r="64" spans="1:14">
      <c r="A64" s="2" t="s">
        <v>94</v>
      </c>
      <c r="B64" s="35">
        <v>44124</v>
      </c>
      <c r="C64" s="35">
        <v>44124</v>
      </c>
      <c r="D64" s="5"/>
      <c r="E64" s="49"/>
      <c r="F64" s="5">
        <v>7.25</v>
      </c>
      <c r="G64" s="5">
        <v>0</v>
      </c>
      <c r="H64" s="5"/>
      <c r="I64" s="5"/>
      <c r="J64" s="6">
        <v>25</v>
      </c>
      <c r="K64" s="6">
        <v>11</v>
      </c>
      <c r="L64" s="6">
        <f>(J64-K64)*0.7</f>
        <v>9.7999999999999989</v>
      </c>
    </row>
    <row r="65" spans="1:13">
      <c r="A65" s="2" t="s">
        <v>100</v>
      </c>
      <c r="B65" s="4">
        <v>44018</v>
      </c>
      <c r="C65" s="4">
        <v>44124</v>
      </c>
      <c r="D65" s="40"/>
      <c r="E65" s="2"/>
      <c r="F65" s="5">
        <v>9.5</v>
      </c>
      <c r="G65" s="5">
        <f>25/30*104</f>
        <v>86.666666666666671</v>
      </c>
      <c r="H65" s="5"/>
      <c r="I65" s="5"/>
      <c r="J65" s="6">
        <v>70</v>
      </c>
      <c r="K65" s="6">
        <v>25</v>
      </c>
      <c r="L65" s="6">
        <f>(J65-K65)*0.7</f>
        <v>31.499999999999996</v>
      </c>
    </row>
    <row r="66" spans="1:13">
      <c r="A66" s="2" t="s">
        <v>101</v>
      </c>
      <c r="B66" s="4">
        <v>44070</v>
      </c>
      <c r="C66" s="4">
        <v>44131</v>
      </c>
      <c r="D66" s="40"/>
      <c r="E66" s="2"/>
      <c r="F66" s="5">
        <v>13.93</v>
      </c>
      <c r="G66" s="5">
        <f>71/30*60</f>
        <v>142</v>
      </c>
      <c r="H66" s="5"/>
      <c r="I66" s="5"/>
      <c r="J66" s="6">
        <v>120</v>
      </c>
      <c r="K66" s="6">
        <f>60+11</f>
        <v>71</v>
      </c>
      <c r="L66" s="6">
        <f>(J66-K66)*0.7</f>
        <v>34.299999999999997</v>
      </c>
    </row>
    <row r="67" spans="1:13">
      <c r="A67" s="22" t="s">
        <v>104</v>
      </c>
      <c r="B67" s="4">
        <v>44159</v>
      </c>
      <c r="C67" s="4">
        <v>44187</v>
      </c>
      <c r="D67" s="40"/>
      <c r="E67" s="2"/>
      <c r="F67" s="5">
        <v>13.93</v>
      </c>
      <c r="G67" s="5">
        <f>36/30*28</f>
        <v>33.6</v>
      </c>
      <c r="H67" s="5"/>
      <c r="I67" s="5"/>
      <c r="J67" s="6">
        <v>110</v>
      </c>
      <c r="K67" s="6">
        <f>25+11</f>
        <v>36</v>
      </c>
      <c r="L67" s="6">
        <f>(J67-K67)*0.7</f>
        <v>51.8</v>
      </c>
    </row>
    <row r="68" spans="1:13">
      <c r="A68" s="39" t="s">
        <v>120</v>
      </c>
      <c r="B68" s="15">
        <v>44169</v>
      </c>
      <c r="C68" s="15">
        <v>44208</v>
      </c>
      <c r="D68" s="5" t="s">
        <v>160</v>
      </c>
      <c r="E68" s="34">
        <v>10</v>
      </c>
      <c r="F68" s="37"/>
      <c r="G68" s="5">
        <f>41/30*38</f>
        <v>51.933333333333337</v>
      </c>
      <c r="H68" s="5"/>
      <c r="I68" s="5"/>
      <c r="J68" s="17">
        <v>70</v>
      </c>
      <c r="K68" s="26">
        <v>45</v>
      </c>
      <c r="L68" s="37">
        <f>10+(60-45)*0.7</f>
        <v>20.5</v>
      </c>
      <c r="M68" s="1" t="s">
        <v>145</v>
      </c>
    </row>
    <row r="69" spans="1:13">
      <c r="A69" s="22" t="s">
        <v>108</v>
      </c>
      <c r="B69" s="4">
        <v>44185</v>
      </c>
      <c r="C69" s="4">
        <v>44242</v>
      </c>
      <c r="D69" s="5" t="s">
        <v>160</v>
      </c>
      <c r="E69" s="49">
        <v>20</v>
      </c>
      <c r="F69" s="5">
        <v>26.48</v>
      </c>
      <c r="G69" s="5">
        <f>50/30*55</f>
        <v>91.666666666666671</v>
      </c>
      <c r="H69" s="5">
        <v>160</v>
      </c>
      <c r="I69" s="5"/>
      <c r="J69" s="6">
        <v>190</v>
      </c>
      <c r="K69" s="6">
        <v>61</v>
      </c>
      <c r="L69" s="5">
        <f>(20+(170-61)*0.7)</f>
        <v>96.3</v>
      </c>
      <c r="M69" s="1" t="s">
        <v>145</v>
      </c>
    </row>
    <row r="70" spans="1:13">
      <c r="A70" s="22" t="s">
        <v>109</v>
      </c>
      <c r="B70" s="4">
        <v>44209</v>
      </c>
      <c r="C70" s="4">
        <v>44250</v>
      </c>
      <c r="D70" s="5" t="s">
        <v>160</v>
      </c>
      <c r="E70" s="49">
        <v>22.5</v>
      </c>
      <c r="F70" s="5">
        <v>22.83</v>
      </c>
      <c r="G70" s="5">
        <f>100/30*40</f>
        <v>133.33333333333334</v>
      </c>
      <c r="H70" s="5">
        <v>125</v>
      </c>
      <c r="I70" s="5"/>
      <c r="J70" s="6">
        <v>210</v>
      </c>
      <c r="K70" s="6">
        <v>100</v>
      </c>
      <c r="L70" s="6">
        <f>(22.5+87.5*0.7)</f>
        <v>83.75</v>
      </c>
    </row>
    <row r="71" spans="1:13">
      <c r="A71" s="2" t="s">
        <v>113</v>
      </c>
      <c r="B71" s="4">
        <v>44245</v>
      </c>
      <c r="C71" s="4">
        <v>44271</v>
      </c>
      <c r="D71" s="5" t="s">
        <v>160</v>
      </c>
      <c r="E71" s="49">
        <v>15</v>
      </c>
      <c r="F71" s="5">
        <v>26.76</v>
      </c>
      <c r="G71" s="5">
        <f>67/30*28</f>
        <v>62.533333333333331</v>
      </c>
      <c r="H71" s="5"/>
      <c r="I71" s="5"/>
      <c r="J71" s="6">
        <v>140</v>
      </c>
      <c r="K71" s="6">
        <v>67</v>
      </c>
      <c r="L71" s="6">
        <f>(15+0.7*58)</f>
        <v>55.599999999999994</v>
      </c>
    </row>
    <row r="72" spans="1:13">
      <c r="A72" s="2" t="s">
        <v>114</v>
      </c>
      <c r="B72" s="4">
        <v>44222</v>
      </c>
      <c r="C72" s="4">
        <v>44279</v>
      </c>
      <c r="D72" s="5" t="s">
        <v>160</v>
      </c>
      <c r="E72" s="49">
        <v>12.5</v>
      </c>
      <c r="F72" s="5">
        <v>13.4</v>
      </c>
      <c r="G72" s="5">
        <f>56/30*58</f>
        <v>108.26666666666667</v>
      </c>
      <c r="H72" s="5">
        <v>100</v>
      </c>
      <c r="I72" s="5"/>
      <c r="J72" s="6">
        <v>140</v>
      </c>
      <c r="K72" s="6">
        <v>56</v>
      </c>
      <c r="L72" s="5">
        <f>(12.5+71.5*0.7)</f>
        <v>62.55</v>
      </c>
      <c r="M72" s="1" t="s">
        <v>145</v>
      </c>
    </row>
    <row r="73" spans="1:13">
      <c r="A73" s="2" t="s">
        <v>112</v>
      </c>
      <c r="B73" s="4">
        <v>44270</v>
      </c>
      <c r="C73" s="4">
        <v>44286</v>
      </c>
      <c r="D73" s="5" t="s">
        <v>160</v>
      </c>
      <c r="E73" s="49">
        <v>17.5</v>
      </c>
      <c r="F73" s="5">
        <v>31.96</v>
      </c>
      <c r="G73" s="5">
        <f>55/30*16</f>
        <v>29.333333333333332</v>
      </c>
      <c r="H73" s="5">
        <v>75</v>
      </c>
      <c r="I73" s="5"/>
      <c r="J73" s="6">
        <v>100</v>
      </c>
      <c r="K73" s="6">
        <v>55</v>
      </c>
      <c r="L73" s="6">
        <f>(17.5+27.5*0.7)</f>
        <v>36.75</v>
      </c>
    </row>
    <row r="74" spans="1:13">
      <c r="A74" s="2" t="s">
        <v>119</v>
      </c>
      <c r="B74" s="4">
        <v>44281</v>
      </c>
      <c r="C74" s="4">
        <v>44316</v>
      </c>
      <c r="D74" s="40"/>
      <c r="E74" s="2"/>
      <c r="F74" s="5">
        <v>14.26</v>
      </c>
      <c r="G74" s="5">
        <f>45/30*34</f>
        <v>51</v>
      </c>
      <c r="H74" s="5"/>
      <c r="I74" s="5"/>
      <c r="J74" s="6">
        <v>110</v>
      </c>
      <c r="K74" s="6">
        <v>45</v>
      </c>
      <c r="L74" s="6">
        <f>(65*0.7)</f>
        <v>45.5</v>
      </c>
    </row>
    <row r="75" spans="1:13">
      <c r="A75" s="22" t="s">
        <v>121</v>
      </c>
      <c r="B75" s="4">
        <v>44316</v>
      </c>
      <c r="C75" s="4">
        <v>44354</v>
      </c>
      <c r="D75" s="40"/>
      <c r="E75" s="2"/>
      <c r="F75" s="5">
        <v>15.15</v>
      </c>
      <c r="G75" s="5">
        <f>36/30*37</f>
        <v>44.4</v>
      </c>
      <c r="H75" s="5"/>
      <c r="I75" s="5"/>
      <c r="J75" s="6">
        <v>110</v>
      </c>
      <c r="K75" s="6">
        <v>36</v>
      </c>
      <c r="L75" s="5">
        <f>(J75-K75)*0.7</f>
        <v>51.8</v>
      </c>
      <c r="M75" s="1" t="s">
        <v>145</v>
      </c>
    </row>
    <row r="76" spans="1:13">
      <c r="A76" s="22" t="s">
        <v>126</v>
      </c>
      <c r="B76" s="4">
        <v>44336</v>
      </c>
      <c r="C76" s="4">
        <v>44370</v>
      </c>
      <c r="D76" s="5" t="s">
        <v>161</v>
      </c>
      <c r="E76" s="49">
        <v>17.5</v>
      </c>
      <c r="F76" s="5">
        <v>35.78</v>
      </c>
      <c r="G76" s="5">
        <f>58/30*33</f>
        <v>63.8</v>
      </c>
      <c r="H76" s="5">
        <v>50</v>
      </c>
      <c r="I76" s="5"/>
      <c r="J76" s="6">
        <v>150</v>
      </c>
      <c r="K76" s="6">
        <v>58</v>
      </c>
      <c r="L76" s="6">
        <f>(17.5+74.5*0.7)</f>
        <v>69.650000000000006</v>
      </c>
    </row>
    <row r="77" spans="1:13">
      <c r="A77" s="44" t="s">
        <v>125</v>
      </c>
      <c r="B77" s="4">
        <v>44342</v>
      </c>
      <c r="C77" s="4">
        <v>44386</v>
      </c>
      <c r="D77" s="5" t="s">
        <v>160</v>
      </c>
      <c r="E77" s="49">
        <v>12.5</v>
      </c>
      <c r="F77" s="5">
        <v>15.46</v>
      </c>
      <c r="G77" s="5">
        <f>36/30*43</f>
        <v>51.6</v>
      </c>
      <c r="H77" s="5">
        <f>50+45</f>
        <v>95</v>
      </c>
      <c r="I77" s="5"/>
      <c r="J77" s="6">
        <v>110</v>
      </c>
      <c r="K77" s="6">
        <v>36</v>
      </c>
      <c r="L77" s="6">
        <f>(12.5+(97.5-36)*0.7)</f>
        <v>55.55</v>
      </c>
    </row>
    <row r="78" spans="1:13">
      <c r="A78" s="44" t="s">
        <v>129</v>
      </c>
      <c r="B78" s="4">
        <v>44348</v>
      </c>
      <c r="C78" s="4">
        <v>44389</v>
      </c>
      <c r="D78" s="5" t="s">
        <v>160</v>
      </c>
      <c r="E78" s="49">
        <v>12.5</v>
      </c>
      <c r="F78" s="5">
        <v>26.22</v>
      </c>
      <c r="G78" s="5">
        <f>71/30*42</f>
        <v>99.4</v>
      </c>
      <c r="H78" s="5">
        <f>50+45</f>
        <v>95</v>
      </c>
      <c r="I78" s="5"/>
      <c r="J78" s="6">
        <v>140</v>
      </c>
      <c r="K78" s="6">
        <v>71</v>
      </c>
      <c r="L78" s="6">
        <f>(12.5+(127.5-71)*0.7)</f>
        <v>52.05</v>
      </c>
    </row>
    <row r="79" spans="1:13">
      <c r="A79" s="44" t="s">
        <v>124</v>
      </c>
      <c r="B79" s="4">
        <v>44348</v>
      </c>
      <c r="C79" s="4">
        <v>44389</v>
      </c>
      <c r="D79" s="40"/>
      <c r="E79" s="2"/>
      <c r="F79" s="5">
        <v>11.62</v>
      </c>
      <c r="G79" s="5">
        <f>26/30*42</f>
        <v>36.4</v>
      </c>
      <c r="H79" s="5">
        <v>65</v>
      </c>
      <c r="I79" s="5"/>
      <c r="J79" s="6">
        <v>70</v>
      </c>
      <c r="K79" s="6">
        <v>26</v>
      </c>
      <c r="L79" s="6">
        <f>(70-26)*0.7</f>
        <v>30.799999999999997</v>
      </c>
    </row>
    <row r="80" spans="1:13">
      <c r="A80" s="44" t="s">
        <v>132</v>
      </c>
      <c r="B80" s="4">
        <v>44407</v>
      </c>
      <c r="C80" s="4">
        <v>44461</v>
      </c>
      <c r="D80" s="40"/>
      <c r="E80" s="2"/>
      <c r="F80" s="5">
        <v>9.8800000000000008</v>
      </c>
      <c r="G80" s="5">
        <f>25/30*52</f>
        <v>43.333333333333336</v>
      </c>
      <c r="H80" s="5"/>
      <c r="I80" s="5"/>
      <c r="J80" s="6">
        <v>70</v>
      </c>
      <c r="K80" s="6">
        <v>25</v>
      </c>
      <c r="L80" s="6">
        <f>45*0.7</f>
        <v>31.499999999999996</v>
      </c>
    </row>
    <row r="81" spans="1:12">
      <c r="A81" s="44" t="s">
        <v>133</v>
      </c>
      <c r="B81" s="4">
        <v>44432</v>
      </c>
      <c r="C81" s="4">
        <v>44467</v>
      </c>
      <c r="D81" s="40"/>
      <c r="E81" s="2"/>
      <c r="F81" s="5">
        <v>9.8800000000000008</v>
      </c>
      <c r="G81" s="5">
        <f>25/30*34</f>
        <v>28.333333333333336</v>
      </c>
      <c r="H81" s="5"/>
      <c r="I81" s="5"/>
      <c r="J81" s="6">
        <v>70</v>
      </c>
      <c r="K81" s="6">
        <v>25</v>
      </c>
      <c r="L81" s="6">
        <f>45*0.7</f>
        <v>31.499999999999996</v>
      </c>
    </row>
    <row r="82" spans="1:12">
      <c r="A82" s="44" t="s">
        <v>135</v>
      </c>
      <c r="B82" s="35">
        <v>44460</v>
      </c>
      <c r="C82" s="35">
        <v>44475</v>
      </c>
      <c r="D82" s="40"/>
      <c r="E82" s="2"/>
      <c r="F82" s="5">
        <v>19.760000000000002</v>
      </c>
      <c r="G82" s="5">
        <f>43/30*15</f>
        <v>21.5</v>
      </c>
      <c r="H82" s="5">
        <v>65</v>
      </c>
      <c r="I82" s="5"/>
      <c r="J82" s="6">
        <v>90</v>
      </c>
      <c r="K82" s="6">
        <v>43</v>
      </c>
      <c r="L82" s="6">
        <f>(J82-K82)*0.7</f>
        <v>32.9</v>
      </c>
    </row>
    <row r="83" spans="1:12">
      <c r="A83" s="44" t="s">
        <v>141</v>
      </c>
      <c r="B83" s="35">
        <v>44459</v>
      </c>
      <c r="C83" s="35">
        <v>44481</v>
      </c>
      <c r="D83" s="10" t="s">
        <v>161</v>
      </c>
      <c r="E83" s="12">
        <v>10</v>
      </c>
      <c r="F83" s="5">
        <v>15.15</v>
      </c>
      <c r="G83" s="5">
        <f>46/30*22</f>
        <v>33.733333333333334</v>
      </c>
      <c r="H83" s="5">
        <v>80</v>
      </c>
      <c r="I83" s="5"/>
      <c r="J83" s="6">
        <v>120</v>
      </c>
      <c r="K83" s="6">
        <v>46</v>
      </c>
      <c r="L83" s="6">
        <f>10+(120-56)*0.7</f>
        <v>54.8</v>
      </c>
    </row>
    <row r="84" spans="1:12">
      <c r="A84" s="44" t="s">
        <v>140</v>
      </c>
      <c r="B84" s="35">
        <v>44449</v>
      </c>
      <c r="C84" s="35">
        <v>44482</v>
      </c>
      <c r="D84" s="5" t="s">
        <v>160</v>
      </c>
      <c r="E84" s="49">
        <v>10</v>
      </c>
      <c r="F84" s="5">
        <v>13.4</v>
      </c>
      <c r="G84" s="5">
        <f>60/30*33</f>
        <v>66</v>
      </c>
      <c r="H84" s="5">
        <v>80</v>
      </c>
      <c r="I84" s="5"/>
      <c r="J84" s="6">
        <v>120</v>
      </c>
      <c r="K84" s="6">
        <v>61</v>
      </c>
      <c r="L84" s="6">
        <f>(10+49*0.7)</f>
        <v>44.3</v>
      </c>
    </row>
    <row r="85" spans="1:12">
      <c r="A85" s="44" t="s">
        <v>137</v>
      </c>
      <c r="B85" s="35">
        <v>44474</v>
      </c>
      <c r="C85" s="35">
        <v>44487</v>
      </c>
      <c r="D85" s="10" t="s">
        <v>161</v>
      </c>
      <c r="E85" s="12">
        <v>12.5</v>
      </c>
      <c r="F85" s="5">
        <v>15.15</v>
      </c>
      <c r="G85" s="5">
        <f>71/30*13</f>
        <v>30.766666666666666</v>
      </c>
      <c r="H85" s="5">
        <v>95</v>
      </c>
      <c r="I85" s="5"/>
      <c r="J85" s="6">
        <v>140</v>
      </c>
      <c r="K85" s="6">
        <v>71</v>
      </c>
      <c r="L85" s="6">
        <f>12.5+(56.5)*0.7</f>
        <v>52.05</v>
      </c>
    </row>
    <row r="86" spans="1:12">
      <c r="A86" s="44" t="s">
        <v>143</v>
      </c>
      <c r="B86" s="35">
        <v>43717</v>
      </c>
      <c r="C86" s="35">
        <v>44505</v>
      </c>
      <c r="D86" s="40"/>
      <c r="E86" s="49"/>
      <c r="F86" s="5">
        <v>13.4</v>
      </c>
      <c r="G86" s="5">
        <f>36*25+36/30*26</f>
        <v>931.2</v>
      </c>
      <c r="H86" s="5"/>
      <c r="I86" s="5"/>
      <c r="J86" s="6">
        <v>110</v>
      </c>
      <c r="K86" s="6">
        <v>36</v>
      </c>
      <c r="L86" s="6">
        <f>(110-36)*0.7</f>
        <v>51.8</v>
      </c>
    </row>
    <row r="87" spans="1:12">
      <c r="A87" s="44" t="s">
        <v>139</v>
      </c>
      <c r="B87" s="35">
        <v>44492</v>
      </c>
      <c r="C87" s="35">
        <v>44539</v>
      </c>
      <c r="D87" s="40"/>
      <c r="E87" s="49"/>
      <c r="F87" s="5">
        <v>16.350000000000001</v>
      </c>
      <c r="G87" s="5">
        <f>71/30*46</f>
        <v>108.86666666666667</v>
      </c>
      <c r="H87" s="5">
        <v>95</v>
      </c>
      <c r="I87" s="5"/>
      <c r="J87" s="6">
        <v>140</v>
      </c>
      <c r="K87" s="6">
        <v>71</v>
      </c>
      <c r="L87" s="6">
        <f>(140-71)*0.7/30*21</f>
        <v>33.809999999999995</v>
      </c>
    </row>
    <row r="88" spans="1:12">
      <c r="A88" s="44" t="s">
        <v>144</v>
      </c>
      <c r="B88" s="35">
        <v>44526</v>
      </c>
      <c r="C88" s="35">
        <v>44550</v>
      </c>
      <c r="D88" s="5" t="s">
        <v>160</v>
      </c>
      <c r="E88" s="49">
        <v>12.5</v>
      </c>
      <c r="F88" s="5">
        <v>13.4</v>
      </c>
      <c r="G88" s="5">
        <f>83/30*24</f>
        <v>66.400000000000006</v>
      </c>
      <c r="H88" s="5"/>
      <c r="I88" s="5"/>
      <c r="J88" s="6">
        <v>160</v>
      </c>
      <c r="K88" s="6">
        <v>94</v>
      </c>
      <c r="L88" s="6">
        <f>15+(160-15-94)*0.7/30*10</f>
        <v>26.9</v>
      </c>
    </row>
    <row r="89" spans="1:12">
      <c r="A89" s="44" t="s">
        <v>149</v>
      </c>
      <c r="B89" s="35">
        <v>44880</v>
      </c>
      <c r="C89" s="35">
        <v>44575</v>
      </c>
      <c r="D89" s="40"/>
      <c r="E89" s="49"/>
      <c r="F89" s="5">
        <v>13.4</v>
      </c>
      <c r="G89" s="5"/>
      <c r="H89" s="5">
        <v>50</v>
      </c>
      <c r="I89" s="5"/>
      <c r="J89" s="6">
        <v>140</v>
      </c>
      <c r="K89" s="6">
        <f>71</f>
        <v>71</v>
      </c>
      <c r="L89" s="6">
        <f>(140-71)*0.7</f>
        <v>48.3</v>
      </c>
    </row>
    <row r="90" spans="1:12">
      <c r="A90" s="44" t="s">
        <v>146</v>
      </c>
      <c r="B90" s="4">
        <v>44586</v>
      </c>
      <c r="C90" s="4">
        <v>44615</v>
      </c>
      <c r="D90" s="10" t="s">
        <v>161</v>
      </c>
      <c r="E90" s="12">
        <v>12.5</v>
      </c>
      <c r="F90" s="5">
        <v>15.46</v>
      </c>
      <c r="G90" s="5">
        <f>27/30*28</f>
        <v>25.2</v>
      </c>
      <c r="H90" s="5">
        <v>110</v>
      </c>
      <c r="I90" s="5"/>
      <c r="J90" s="6">
        <v>124</v>
      </c>
      <c r="K90" s="6">
        <v>51</v>
      </c>
      <c r="L90" s="6">
        <f>12.5+(124-63.5)*0.7</f>
        <v>54.849999999999994</v>
      </c>
    </row>
    <row r="91" spans="1:12">
      <c r="A91" s="44" t="s">
        <v>148</v>
      </c>
      <c r="B91" s="4">
        <v>44579</v>
      </c>
      <c r="C91" s="4">
        <v>44594</v>
      </c>
      <c r="D91" s="40"/>
      <c r="E91" s="49"/>
      <c r="F91" s="5">
        <v>13.4</v>
      </c>
      <c r="G91" s="5">
        <f>22/30*14</f>
        <v>10.266666666666666</v>
      </c>
      <c r="H91" s="5">
        <v>30</v>
      </c>
      <c r="I91" s="5"/>
      <c r="J91" s="6">
        <v>50</v>
      </c>
      <c r="K91" s="6">
        <v>22</v>
      </c>
      <c r="L91" s="6">
        <f>(50-22)*0.7</f>
        <v>19.599999999999998</v>
      </c>
    </row>
    <row r="92" spans="1:12">
      <c r="A92" s="44" t="s">
        <v>150</v>
      </c>
      <c r="B92" s="4">
        <v>44899</v>
      </c>
      <c r="C92" s="4">
        <v>44607</v>
      </c>
      <c r="D92" s="12" t="s">
        <v>160</v>
      </c>
      <c r="E92" s="12">
        <v>12.5</v>
      </c>
      <c r="F92" s="5">
        <v>13.4</v>
      </c>
      <c r="G92" s="5">
        <f>71/30*61</f>
        <v>144.36666666666667</v>
      </c>
      <c r="H92" s="5">
        <v>80</v>
      </c>
      <c r="I92" s="5"/>
      <c r="J92" s="6">
        <v>120</v>
      </c>
      <c r="K92" s="6">
        <v>60</v>
      </c>
      <c r="L92" s="6">
        <f>12.5+(120-72.5)*0.7</f>
        <v>45.75</v>
      </c>
    </row>
    <row r="93" spans="1:12">
      <c r="A93" s="44" t="s">
        <v>151</v>
      </c>
      <c r="B93" s="4">
        <v>44926</v>
      </c>
      <c r="C93" s="4">
        <v>44649</v>
      </c>
      <c r="D93" s="40"/>
      <c r="E93" s="40"/>
      <c r="F93" s="5">
        <v>9.0299999999999994</v>
      </c>
      <c r="G93" s="5">
        <f>25*2+25/30*29</f>
        <v>74.166666666666671</v>
      </c>
      <c r="H93" s="5">
        <v>80</v>
      </c>
      <c r="I93" s="5"/>
      <c r="J93" s="6">
        <v>67.5</v>
      </c>
      <c r="K93" s="6">
        <v>25</v>
      </c>
      <c r="L93" s="6">
        <f>(67.5-25)*0.7</f>
        <v>29.749999999999996</v>
      </c>
    </row>
    <row r="94" spans="1:12">
      <c r="A94" s="44" t="s">
        <v>152</v>
      </c>
      <c r="B94" s="4">
        <v>44852</v>
      </c>
      <c r="C94" s="4">
        <v>44649</v>
      </c>
      <c r="D94" s="40"/>
      <c r="E94" s="40"/>
      <c r="F94" s="5">
        <v>9.0299999999999994</v>
      </c>
      <c r="G94" s="5">
        <f>45*4+45/30*13</f>
        <v>199.5</v>
      </c>
      <c r="H94" s="5">
        <v>80</v>
      </c>
      <c r="I94" s="5"/>
      <c r="J94" s="6">
        <v>67.5</v>
      </c>
      <c r="K94" s="6">
        <v>45</v>
      </c>
      <c r="L94" s="6">
        <f>(J94-K94)*0.7</f>
        <v>15.749999999999998</v>
      </c>
    </row>
    <row r="95" spans="1:12">
      <c r="A95" s="44" t="s">
        <v>153</v>
      </c>
      <c r="B95" s="4">
        <v>44623</v>
      </c>
      <c r="C95" s="4">
        <v>44623</v>
      </c>
      <c r="D95" s="40"/>
      <c r="E95" s="40"/>
      <c r="F95" s="5">
        <v>11.03</v>
      </c>
      <c r="G95" s="5">
        <v>0</v>
      </c>
      <c r="H95" s="5">
        <v>15</v>
      </c>
      <c r="I95" s="5"/>
      <c r="J95" s="6">
        <v>30</v>
      </c>
      <c r="K95" s="6">
        <v>12</v>
      </c>
      <c r="L95" s="6">
        <f>(J95-K95)*0.7</f>
        <v>12.6</v>
      </c>
    </row>
    <row r="96" spans="1:12">
      <c r="A96" s="44" t="s">
        <v>154</v>
      </c>
      <c r="B96" s="4">
        <v>44881</v>
      </c>
      <c r="C96" s="4">
        <v>44628</v>
      </c>
      <c r="D96" s="40"/>
      <c r="E96" s="40"/>
      <c r="F96" s="5">
        <v>9.0299999999999994</v>
      </c>
      <c r="G96" s="5">
        <f>65*3+65/30*22</f>
        <v>242.66666666666666</v>
      </c>
      <c r="H96" s="5">
        <v>95</v>
      </c>
      <c r="I96" s="5"/>
      <c r="J96" s="6">
        <v>112</v>
      </c>
      <c r="K96" s="6">
        <v>65</v>
      </c>
      <c r="L96" s="6">
        <f>(J96-K96)*0.7</f>
        <v>32.9</v>
      </c>
    </row>
    <row r="97" spans="1:12">
      <c r="A97" s="44" t="s">
        <v>155</v>
      </c>
      <c r="B97" s="4">
        <v>44490</v>
      </c>
      <c r="C97" s="4">
        <v>44648</v>
      </c>
      <c r="D97" s="40"/>
      <c r="E97" s="40"/>
      <c r="F97" s="5">
        <v>13.4</v>
      </c>
      <c r="G97" s="5">
        <f>45*5+45/30*7</f>
        <v>235.5</v>
      </c>
      <c r="H97" s="5">
        <v>80</v>
      </c>
      <c r="I97" s="5"/>
      <c r="J97" s="6">
        <v>67.5</v>
      </c>
      <c r="K97" s="6">
        <v>45</v>
      </c>
      <c r="L97" s="6">
        <f>(J97-K97)*0.7</f>
        <v>15.749999999999998</v>
      </c>
    </row>
    <row r="98" spans="1:12">
      <c r="A98" s="52" t="s">
        <v>156</v>
      </c>
      <c r="B98" s="24">
        <v>44489</v>
      </c>
      <c r="C98" s="24">
        <v>44651</v>
      </c>
      <c r="D98" s="48"/>
      <c r="E98" s="48"/>
      <c r="F98" s="25">
        <v>15.46</v>
      </c>
      <c r="G98" s="25">
        <f>50*5+50/10</f>
        <v>255</v>
      </c>
      <c r="H98" s="25">
        <v>145</v>
      </c>
      <c r="I98" s="25"/>
      <c r="J98" s="27">
        <v>125</v>
      </c>
      <c r="K98" s="27">
        <v>50</v>
      </c>
      <c r="L98" s="27">
        <f>(J98-K98)*0.7</f>
        <v>52.5</v>
      </c>
    </row>
    <row r="99" spans="1:12">
      <c r="A99" s="52" t="s">
        <v>157</v>
      </c>
      <c r="B99" s="24">
        <v>44627</v>
      </c>
      <c r="C99" s="24">
        <v>44627</v>
      </c>
      <c r="D99" s="10" t="s">
        <v>161</v>
      </c>
      <c r="E99" s="12">
        <v>10</v>
      </c>
      <c r="F99" s="25">
        <v>15.46</v>
      </c>
      <c r="G99" s="25">
        <v>0</v>
      </c>
      <c r="H99" s="25">
        <v>0</v>
      </c>
      <c r="I99" s="25"/>
      <c r="J99" s="27">
        <v>100</v>
      </c>
      <c r="K99" s="27">
        <v>44</v>
      </c>
      <c r="L99" s="27">
        <f>10+(46)*0.7</f>
        <v>42.199999999999996</v>
      </c>
    </row>
    <row r="100" spans="1:12">
      <c r="A100" s="52" t="s">
        <v>158</v>
      </c>
      <c r="B100" s="24">
        <v>44627</v>
      </c>
      <c r="C100" s="24">
        <v>44627</v>
      </c>
      <c r="D100" s="38" t="s">
        <v>161</v>
      </c>
      <c r="E100" s="54">
        <v>12.5</v>
      </c>
      <c r="F100" s="25">
        <v>15.46</v>
      </c>
      <c r="G100" s="25">
        <v>0</v>
      </c>
      <c r="H100" s="25">
        <v>0</v>
      </c>
      <c r="I100" s="25"/>
      <c r="J100" s="27">
        <v>125</v>
      </c>
      <c r="K100" s="27">
        <v>55</v>
      </c>
      <c r="L100" s="27">
        <f>12.5+(57.5)*0.7</f>
        <v>52.75</v>
      </c>
    </row>
    <row r="101" spans="1:12">
      <c r="A101" s="44" t="s">
        <v>168</v>
      </c>
      <c r="B101" s="4">
        <v>44636</v>
      </c>
      <c r="C101" s="4">
        <v>44659</v>
      </c>
      <c r="D101" s="40"/>
      <c r="E101" s="5"/>
      <c r="F101" s="5">
        <v>13.72</v>
      </c>
      <c r="G101" s="5">
        <f>55/30*24</f>
        <v>44</v>
      </c>
      <c r="H101" s="5">
        <v>80</v>
      </c>
      <c r="I101" s="5"/>
      <c r="J101" s="6">
        <v>120</v>
      </c>
      <c r="K101" s="6">
        <v>55</v>
      </c>
      <c r="L101" s="6">
        <f>10+(110-K101)*0.7</f>
        <v>48.5</v>
      </c>
    </row>
    <row r="102" spans="1:12">
      <c r="A102" s="10" t="s">
        <v>171</v>
      </c>
      <c r="B102" s="4">
        <v>44648</v>
      </c>
      <c r="C102" s="4">
        <v>44734</v>
      </c>
      <c r="D102" s="40"/>
      <c r="E102" s="5"/>
      <c r="F102" s="5">
        <v>13.72</v>
      </c>
      <c r="G102" s="5">
        <f>56/30*84</f>
        <v>156.80000000000001</v>
      </c>
      <c r="H102" s="5">
        <v>95</v>
      </c>
      <c r="I102" s="5"/>
      <c r="J102" s="6">
        <v>140</v>
      </c>
      <c r="K102" s="6">
        <v>56</v>
      </c>
      <c r="L102" s="6">
        <f>(140-56)*0.7</f>
        <v>58.8</v>
      </c>
    </row>
    <row r="103" spans="1:12">
      <c r="A103" s="10" t="s">
        <v>172</v>
      </c>
      <c r="B103" s="4">
        <v>44705</v>
      </c>
      <c r="C103" s="4">
        <v>44715</v>
      </c>
      <c r="D103" s="40"/>
      <c r="E103" s="5"/>
      <c r="F103" s="5">
        <v>10.039999999999999</v>
      </c>
      <c r="G103" s="5">
        <f>25/30*9</f>
        <v>7.5</v>
      </c>
      <c r="H103" s="5"/>
      <c r="I103" s="5"/>
      <c r="J103" s="6">
        <v>50</v>
      </c>
      <c r="K103" s="6">
        <v>25</v>
      </c>
      <c r="L103" s="6">
        <f>(50-25)*0.7</f>
        <v>17.5</v>
      </c>
    </row>
    <row r="104" spans="1:12">
      <c r="A104" s="10" t="s">
        <v>173</v>
      </c>
      <c r="B104" s="4">
        <v>44704</v>
      </c>
      <c r="C104" s="4">
        <v>44721</v>
      </c>
      <c r="D104" s="10" t="s">
        <v>161</v>
      </c>
      <c r="E104" s="12">
        <v>10</v>
      </c>
      <c r="F104" s="5">
        <v>13.72</v>
      </c>
      <c r="G104" s="5">
        <f>37/30*16</f>
        <v>19.733333333333334</v>
      </c>
      <c r="H104" s="5">
        <f>50+45</f>
        <v>95</v>
      </c>
      <c r="I104" s="5"/>
      <c r="J104" s="6">
        <v>110</v>
      </c>
      <c r="K104" s="6">
        <v>37</v>
      </c>
      <c r="L104" s="6">
        <f>10+(100-37)*0.7</f>
        <v>54.099999999999994</v>
      </c>
    </row>
    <row r="105" spans="1:12">
      <c r="A105" s="28"/>
      <c r="B105" s="36"/>
      <c r="C105" s="36"/>
      <c r="D105" s="28"/>
      <c r="E105" s="28"/>
      <c r="F105" s="30"/>
      <c r="G105" s="28"/>
      <c r="H105" s="30"/>
      <c r="K105" s="50" t="s">
        <v>4</v>
      </c>
      <c r="L105" s="50">
        <f>SUM(L2:L104)</f>
        <v>3839.0100000000016</v>
      </c>
    </row>
    <row r="106" spans="1:12">
      <c r="A106" s="28"/>
      <c r="C106" s="15"/>
      <c r="D106" s="1"/>
      <c r="E106" s="1"/>
      <c r="F106" s="1"/>
      <c r="G106" s="1"/>
      <c r="H106" s="1"/>
      <c r="I106" s="1"/>
      <c r="J106" s="1"/>
      <c r="K106" s="29"/>
      <c r="L106" s="29"/>
    </row>
    <row r="108" spans="1:12">
      <c r="F108" s="30"/>
    </row>
    <row r="109" spans="1:12">
      <c r="G109" s="42"/>
    </row>
    <row r="110" spans="1:12">
      <c r="J110" t="s">
        <v>169</v>
      </c>
    </row>
    <row r="111" spans="1:12">
      <c r="J111" t="s">
        <v>170</v>
      </c>
    </row>
  </sheetData>
  <autoFilter ref="A1:N1">
    <sortState ref="A2:M104">
      <sortCondition ref="C1"/>
    </sortState>
  </autoFilter>
  <pageMargins left="0.7" right="0.7" top="0.75" bottom="0.75" header="0.3" footer="0.3"/>
  <pageSetup paperSize="9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>
  <dimension ref="A1:N109"/>
  <sheetViews>
    <sheetView topLeftCell="A97" workbookViewId="0">
      <selection activeCell="G111" sqref="G111"/>
    </sheetView>
  </sheetViews>
  <sheetFormatPr baseColWidth="10" defaultRowHeight="15"/>
  <cols>
    <col min="1" max="1" width="26.5703125" customWidth="1"/>
    <col min="2" max="2" width="22.85546875" customWidth="1"/>
  </cols>
  <sheetData>
    <row r="1" spans="1:13" ht="60">
      <c r="A1" s="2"/>
      <c r="B1" s="3" t="s">
        <v>0</v>
      </c>
      <c r="C1" s="3" t="s">
        <v>1</v>
      </c>
      <c r="D1" s="3" t="s">
        <v>159</v>
      </c>
      <c r="E1" s="3" t="s">
        <v>162</v>
      </c>
      <c r="F1" s="3" t="s">
        <v>3</v>
      </c>
      <c r="G1" s="3" t="s">
        <v>11</v>
      </c>
      <c r="H1" s="3" t="s">
        <v>36</v>
      </c>
      <c r="I1" s="3" t="s">
        <v>12</v>
      </c>
      <c r="J1" s="3" t="s">
        <v>5</v>
      </c>
      <c r="K1" s="3" t="s">
        <v>7</v>
      </c>
      <c r="L1" s="3" t="s">
        <v>8</v>
      </c>
      <c r="M1" s="14" t="s">
        <v>35</v>
      </c>
    </row>
    <row r="2" spans="1:13">
      <c r="A2" s="2" t="s">
        <v>10</v>
      </c>
      <c r="B2" s="4">
        <v>41852</v>
      </c>
      <c r="C2" s="4">
        <v>41852</v>
      </c>
      <c r="D2" s="5"/>
      <c r="E2" s="49"/>
      <c r="F2" s="5">
        <v>10</v>
      </c>
      <c r="G2" s="5"/>
      <c r="H2" s="5"/>
      <c r="I2" s="5">
        <f>D2+F2+H2</f>
        <v>10</v>
      </c>
      <c r="J2" s="6">
        <v>40</v>
      </c>
      <c r="K2" s="6">
        <v>25</v>
      </c>
      <c r="L2" s="6">
        <f t="shared" ref="L2:L55" si="0">(J2-K2)*0.7</f>
        <v>10.5</v>
      </c>
    </row>
    <row r="3" spans="1:13">
      <c r="A3" s="2" t="s">
        <v>17</v>
      </c>
      <c r="B3" s="4"/>
      <c r="C3" s="4">
        <v>42209</v>
      </c>
      <c r="D3" s="5"/>
      <c r="E3" s="49"/>
      <c r="F3" s="5"/>
      <c r="G3" s="5"/>
      <c r="H3" s="5"/>
      <c r="I3" s="5"/>
      <c r="J3" s="6">
        <v>90</v>
      </c>
      <c r="K3" s="6">
        <v>25</v>
      </c>
      <c r="L3" s="6">
        <f t="shared" si="0"/>
        <v>45.5</v>
      </c>
    </row>
    <row r="4" spans="1:13">
      <c r="A4" s="2" t="s">
        <v>15</v>
      </c>
      <c r="B4" s="4">
        <v>42272</v>
      </c>
      <c r="C4" s="4">
        <v>42275</v>
      </c>
      <c r="D4" s="5">
        <v>50</v>
      </c>
      <c r="E4" s="49"/>
      <c r="F4" s="5"/>
      <c r="G4" s="5">
        <f>25/30*3</f>
        <v>2.5</v>
      </c>
      <c r="H4" s="5"/>
      <c r="I4" s="5">
        <f>D4+F4+H4</f>
        <v>50</v>
      </c>
      <c r="J4" s="6">
        <v>40</v>
      </c>
      <c r="K4" s="6">
        <v>25</v>
      </c>
      <c r="L4" s="6">
        <f t="shared" si="0"/>
        <v>10.5</v>
      </c>
    </row>
    <row r="5" spans="1:13">
      <c r="A5" s="2" t="s">
        <v>18</v>
      </c>
      <c r="B5" s="2"/>
      <c r="C5" s="4">
        <v>42335</v>
      </c>
      <c r="D5" s="5"/>
      <c r="E5" s="49"/>
      <c r="F5" s="5"/>
      <c r="G5" s="5"/>
      <c r="H5" s="5"/>
      <c r="I5" s="5"/>
      <c r="J5" s="6">
        <v>90</v>
      </c>
      <c r="K5" s="6">
        <v>25</v>
      </c>
      <c r="L5" s="6">
        <f t="shared" si="0"/>
        <v>45.5</v>
      </c>
    </row>
    <row r="6" spans="1:13">
      <c r="A6" s="2" t="s">
        <v>16</v>
      </c>
      <c r="B6" s="2"/>
      <c r="C6" s="4">
        <v>42396</v>
      </c>
      <c r="D6" s="5"/>
      <c r="E6" s="49"/>
      <c r="F6" s="5"/>
      <c r="G6" s="5"/>
      <c r="H6" s="5"/>
      <c r="I6" s="5"/>
      <c r="J6" s="6">
        <v>90</v>
      </c>
      <c r="K6" s="6">
        <v>25</v>
      </c>
      <c r="L6" s="6">
        <f t="shared" si="0"/>
        <v>45.5</v>
      </c>
    </row>
    <row r="7" spans="1:13">
      <c r="A7" s="2" t="s">
        <v>22</v>
      </c>
      <c r="B7" s="4">
        <v>42546</v>
      </c>
      <c r="C7" s="4">
        <v>42571</v>
      </c>
      <c r="D7" s="5"/>
      <c r="E7" s="49"/>
      <c r="F7" s="5">
        <f>6.9+8.5</f>
        <v>15.4</v>
      </c>
      <c r="G7" s="5">
        <f>25*25/30</f>
        <v>20.833333333333332</v>
      </c>
      <c r="H7" s="5"/>
      <c r="I7" s="5"/>
      <c r="J7" s="6">
        <v>120</v>
      </c>
      <c r="K7" s="6">
        <v>25</v>
      </c>
      <c r="L7" s="6">
        <f t="shared" si="0"/>
        <v>66.5</v>
      </c>
    </row>
    <row r="8" spans="1:13">
      <c r="A8" s="2" t="s">
        <v>23</v>
      </c>
      <c r="B8" s="4">
        <v>42560</v>
      </c>
      <c r="C8" s="4">
        <v>42571</v>
      </c>
      <c r="D8" s="5"/>
      <c r="E8" s="49"/>
      <c r="F8" s="5">
        <v>8.5</v>
      </c>
      <c r="G8" s="5">
        <f>25*41/30</f>
        <v>34.166666666666664</v>
      </c>
      <c r="H8" s="5"/>
      <c r="I8" s="5"/>
      <c r="J8" s="6">
        <v>107.5</v>
      </c>
      <c r="K8" s="6">
        <v>25</v>
      </c>
      <c r="L8" s="6">
        <f t="shared" si="0"/>
        <v>57.749999999999993</v>
      </c>
    </row>
    <row r="9" spans="1:13">
      <c r="A9" s="2" t="s">
        <v>24</v>
      </c>
      <c r="B9" s="4">
        <v>42530</v>
      </c>
      <c r="C9" s="4">
        <v>42579</v>
      </c>
      <c r="D9" s="5"/>
      <c r="E9" s="49"/>
      <c r="F9" s="5">
        <f>8.5+6.9</f>
        <v>15.4</v>
      </c>
      <c r="G9" s="5">
        <f>25*52/30</f>
        <v>43.333333333333336</v>
      </c>
      <c r="H9" s="5"/>
      <c r="I9" s="5"/>
      <c r="J9" s="6">
        <v>90</v>
      </c>
      <c r="K9" s="6">
        <v>25</v>
      </c>
      <c r="L9" s="6">
        <f t="shared" si="0"/>
        <v>45.5</v>
      </c>
    </row>
    <row r="10" spans="1:13">
      <c r="A10" s="2" t="s">
        <v>26</v>
      </c>
      <c r="B10" s="4">
        <v>42633</v>
      </c>
      <c r="C10" s="4">
        <v>42644</v>
      </c>
      <c r="D10" s="5"/>
      <c r="E10" s="49"/>
      <c r="F10" s="5">
        <v>8.17</v>
      </c>
      <c r="G10" s="5">
        <f>25/30*10</f>
        <v>8.3333333333333339</v>
      </c>
      <c r="H10" s="5"/>
      <c r="I10" s="5"/>
      <c r="J10" s="6">
        <v>70</v>
      </c>
      <c r="K10" s="6">
        <v>25</v>
      </c>
      <c r="L10" s="6">
        <f t="shared" si="0"/>
        <v>31.499999999999996</v>
      </c>
    </row>
    <row r="11" spans="1:13">
      <c r="A11" s="2" t="s">
        <v>27</v>
      </c>
      <c r="B11" s="4">
        <v>42656</v>
      </c>
      <c r="C11" s="4">
        <v>42705</v>
      </c>
      <c r="D11" s="5"/>
      <c r="E11" s="49"/>
      <c r="F11" s="5">
        <v>8.17</v>
      </c>
      <c r="G11" s="5">
        <f>K11/30*47</f>
        <v>39.166666666666671</v>
      </c>
      <c r="H11" s="5"/>
      <c r="I11" s="5"/>
      <c r="J11" s="6">
        <v>40</v>
      </c>
      <c r="K11" s="6">
        <v>25</v>
      </c>
      <c r="L11" s="6">
        <f t="shared" si="0"/>
        <v>10.5</v>
      </c>
    </row>
    <row r="12" spans="1:13">
      <c r="A12" s="2" t="s">
        <v>29</v>
      </c>
      <c r="B12" s="4">
        <v>42683</v>
      </c>
      <c r="C12" s="4">
        <v>42718</v>
      </c>
      <c r="D12" s="5"/>
      <c r="E12" s="49"/>
      <c r="F12" s="5">
        <v>8.9700000000000006</v>
      </c>
      <c r="G12" s="5">
        <f>K12/30*35</f>
        <v>42</v>
      </c>
      <c r="H12" s="5"/>
      <c r="I12" s="5"/>
      <c r="J12" s="6">
        <f>105</f>
        <v>105</v>
      </c>
      <c r="K12" s="6">
        <v>36</v>
      </c>
      <c r="L12" s="6">
        <f t="shared" si="0"/>
        <v>48.3</v>
      </c>
    </row>
    <row r="13" spans="1:13">
      <c r="A13" s="2" t="s">
        <v>28</v>
      </c>
      <c r="B13" s="4">
        <v>42711</v>
      </c>
      <c r="C13" s="4">
        <v>42734</v>
      </c>
      <c r="D13" s="5"/>
      <c r="E13" s="49"/>
      <c r="F13" s="5">
        <v>8.17</v>
      </c>
      <c r="G13" s="5">
        <f>K13/30*23</f>
        <v>19.166666666666668</v>
      </c>
      <c r="H13" s="5"/>
      <c r="I13" s="5"/>
      <c r="J13" s="6">
        <v>40</v>
      </c>
      <c r="K13" s="6">
        <v>25</v>
      </c>
      <c r="L13" s="6">
        <f t="shared" si="0"/>
        <v>10.5</v>
      </c>
    </row>
    <row r="14" spans="1:13">
      <c r="A14" s="2" t="s">
        <v>30</v>
      </c>
      <c r="B14" s="4">
        <v>42732</v>
      </c>
      <c r="C14" s="4">
        <v>42759</v>
      </c>
      <c r="D14" s="5"/>
      <c r="E14" s="49"/>
      <c r="F14" s="5">
        <v>18.8</v>
      </c>
      <c r="G14" s="5">
        <f>K14/30*27</f>
        <v>23.400000000000002</v>
      </c>
      <c r="H14" s="5"/>
      <c r="I14" s="5"/>
      <c r="J14" s="6">
        <v>90</v>
      </c>
      <c r="K14" s="6">
        <v>26</v>
      </c>
      <c r="L14" s="6">
        <f t="shared" si="0"/>
        <v>44.8</v>
      </c>
    </row>
    <row r="15" spans="1:13">
      <c r="A15" s="2" t="s">
        <v>31</v>
      </c>
      <c r="B15" s="4">
        <v>42735</v>
      </c>
      <c r="C15" s="4">
        <v>42782</v>
      </c>
      <c r="D15" s="5">
        <v>50</v>
      </c>
      <c r="E15" s="49"/>
      <c r="F15" s="5">
        <v>20.63</v>
      </c>
      <c r="G15" s="5">
        <f>K15/30*46</f>
        <v>42.933333333333337</v>
      </c>
      <c r="H15" s="5"/>
      <c r="I15" s="5"/>
      <c r="J15" s="6">
        <v>92</v>
      </c>
      <c r="K15" s="6">
        <v>28</v>
      </c>
      <c r="L15" s="6">
        <f t="shared" si="0"/>
        <v>44.8</v>
      </c>
    </row>
    <row r="16" spans="1:13">
      <c r="A16" s="2" t="s">
        <v>32</v>
      </c>
      <c r="B16" s="4">
        <v>42857</v>
      </c>
      <c r="C16" s="4">
        <v>42866</v>
      </c>
      <c r="D16" s="5"/>
      <c r="E16" s="49"/>
      <c r="F16" s="5"/>
      <c r="G16" s="5">
        <f>23/30*9</f>
        <v>6.9</v>
      </c>
      <c r="H16" s="5">
        <f>60*0.7</f>
        <v>42</v>
      </c>
      <c r="I16" s="5"/>
      <c r="J16" s="6">
        <v>60</v>
      </c>
      <c r="K16" s="6">
        <v>23</v>
      </c>
      <c r="L16" s="6">
        <f t="shared" si="0"/>
        <v>25.9</v>
      </c>
    </row>
    <row r="17" spans="1:13">
      <c r="A17" s="2" t="s">
        <v>37</v>
      </c>
      <c r="B17" s="4">
        <v>42891</v>
      </c>
      <c r="C17" s="4">
        <v>42915</v>
      </c>
      <c r="D17" s="5"/>
      <c r="E17" s="49"/>
      <c r="F17" s="5">
        <v>6.83</v>
      </c>
      <c r="G17" s="5">
        <f>24/30*24</f>
        <v>19.200000000000003</v>
      </c>
      <c r="H17" s="5"/>
      <c r="I17" s="5"/>
      <c r="J17" s="6">
        <v>70</v>
      </c>
      <c r="K17" s="6">
        <v>24</v>
      </c>
      <c r="L17" s="6">
        <f t="shared" si="0"/>
        <v>32.199999999999996</v>
      </c>
    </row>
    <row r="18" spans="1:13">
      <c r="A18" s="2" t="s">
        <v>39</v>
      </c>
      <c r="B18" s="4">
        <v>43081</v>
      </c>
      <c r="C18" s="4">
        <v>43109</v>
      </c>
      <c r="D18" s="5"/>
      <c r="E18" s="49"/>
      <c r="F18" s="5">
        <v>9.83</v>
      </c>
      <c r="G18" s="5">
        <f>36/30*28</f>
        <v>33.6</v>
      </c>
      <c r="H18" s="5"/>
      <c r="I18" s="5"/>
      <c r="J18" s="6">
        <v>120</v>
      </c>
      <c r="K18" s="6">
        <v>36</v>
      </c>
      <c r="L18" s="6">
        <f t="shared" si="0"/>
        <v>58.8</v>
      </c>
    </row>
    <row r="19" spans="1:13">
      <c r="A19" s="22" t="s">
        <v>56</v>
      </c>
      <c r="B19" s="4">
        <v>43361</v>
      </c>
      <c r="C19" s="4">
        <v>43132</v>
      </c>
      <c r="D19" s="5"/>
      <c r="E19" s="49"/>
      <c r="F19" s="5">
        <v>14.11</v>
      </c>
      <c r="G19" s="5">
        <f>25*4+25/30*12</f>
        <v>110</v>
      </c>
      <c r="H19" s="5"/>
      <c r="I19" s="5"/>
      <c r="J19" s="6">
        <v>75</v>
      </c>
      <c r="K19" s="6">
        <v>25</v>
      </c>
      <c r="L19" s="6">
        <f t="shared" si="0"/>
        <v>35</v>
      </c>
    </row>
    <row r="20" spans="1:13">
      <c r="A20" s="2" t="s">
        <v>40</v>
      </c>
      <c r="B20" s="4">
        <v>43106</v>
      </c>
      <c r="C20" s="4">
        <v>43146</v>
      </c>
      <c r="D20" s="5"/>
      <c r="E20" s="49"/>
      <c r="F20" s="5">
        <v>8.2899999999999991</v>
      </c>
      <c r="G20" s="5">
        <f>25/30*39</f>
        <v>32.5</v>
      </c>
      <c r="H20" s="5"/>
      <c r="I20" s="5"/>
      <c r="J20" s="6">
        <v>70</v>
      </c>
      <c r="K20" s="6">
        <v>26</v>
      </c>
      <c r="L20" s="6">
        <f t="shared" si="0"/>
        <v>30.799999999999997</v>
      </c>
    </row>
    <row r="21" spans="1:13">
      <c r="A21" s="9" t="s">
        <v>44</v>
      </c>
      <c r="B21" s="4">
        <v>43196</v>
      </c>
      <c r="C21" s="4">
        <v>43250</v>
      </c>
      <c r="D21" s="5"/>
      <c r="E21" s="49"/>
      <c r="F21" s="5">
        <v>13.78</v>
      </c>
      <c r="G21" s="5">
        <f>25*24/30+25</f>
        <v>45</v>
      </c>
      <c r="H21" s="5"/>
      <c r="I21" s="5"/>
      <c r="J21" s="6">
        <f>60</f>
        <v>60</v>
      </c>
      <c r="K21" s="6">
        <v>25</v>
      </c>
      <c r="L21" s="6">
        <f t="shared" si="0"/>
        <v>24.5</v>
      </c>
    </row>
    <row r="22" spans="1:13">
      <c r="A22" s="22" t="s">
        <v>47</v>
      </c>
      <c r="B22" s="4">
        <v>43355</v>
      </c>
      <c r="C22" s="4">
        <v>43277</v>
      </c>
      <c r="D22" s="5"/>
      <c r="E22" s="49"/>
      <c r="F22" s="5">
        <v>19.98</v>
      </c>
      <c r="G22" s="5">
        <f>36*2+36/30*16</f>
        <v>91.2</v>
      </c>
      <c r="H22" s="5"/>
      <c r="I22" s="5"/>
      <c r="J22" s="6">
        <v>105</v>
      </c>
      <c r="K22" s="6">
        <v>36</v>
      </c>
      <c r="L22" s="6">
        <f t="shared" si="0"/>
        <v>48.3</v>
      </c>
    </row>
    <row r="23" spans="1:13">
      <c r="A23" s="22" t="s">
        <v>48</v>
      </c>
      <c r="B23" s="4">
        <v>43367</v>
      </c>
      <c r="C23" s="4">
        <v>43284</v>
      </c>
      <c r="D23" s="5"/>
      <c r="E23" s="49"/>
      <c r="F23" s="5">
        <v>9.1</v>
      </c>
      <c r="G23" s="5">
        <f>25+25/30*27</f>
        <v>47.5</v>
      </c>
      <c r="H23" s="5"/>
      <c r="I23" s="5"/>
      <c r="J23" s="6">
        <v>75</v>
      </c>
      <c r="K23" s="6">
        <v>25</v>
      </c>
      <c r="L23" s="6">
        <f t="shared" si="0"/>
        <v>35</v>
      </c>
    </row>
    <row r="24" spans="1:13">
      <c r="A24" s="2" t="s">
        <v>45</v>
      </c>
      <c r="B24" s="4"/>
      <c r="C24" s="4">
        <v>43286</v>
      </c>
      <c r="D24" s="5"/>
      <c r="E24" s="49"/>
      <c r="F24" s="5">
        <v>11.56</v>
      </c>
      <c r="G24" s="5"/>
      <c r="H24" s="5"/>
      <c r="I24" s="5"/>
      <c r="J24" s="6">
        <v>150</v>
      </c>
      <c r="K24" s="6">
        <v>76</v>
      </c>
      <c r="L24" s="6">
        <f t="shared" si="0"/>
        <v>51.8</v>
      </c>
      <c r="M24" s="20"/>
    </row>
    <row r="25" spans="1:13">
      <c r="A25" s="22" t="s">
        <v>49</v>
      </c>
      <c r="B25" s="4">
        <v>43367</v>
      </c>
      <c r="C25" s="4">
        <v>43291</v>
      </c>
      <c r="D25" s="5"/>
      <c r="E25" s="49"/>
      <c r="F25" s="5">
        <v>10.039999999999999</v>
      </c>
      <c r="G25" s="5">
        <f>50+25/30*14</f>
        <v>61.666666666666671</v>
      </c>
      <c r="H25" s="5"/>
      <c r="I25" s="5"/>
      <c r="J25" s="6">
        <v>70</v>
      </c>
      <c r="K25" s="6">
        <v>25</v>
      </c>
      <c r="L25" s="6">
        <f t="shared" si="0"/>
        <v>31.499999999999996</v>
      </c>
    </row>
    <row r="26" spans="1:13">
      <c r="A26" s="22" t="s">
        <v>51</v>
      </c>
      <c r="B26" s="4">
        <v>43358</v>
      </c>
      <c r="C26" s="4">
        <v>43291</v>
      </c>
      <c r="D26" s="5"/>
      <c r="E26" s="49"/>
      <c r="F26" s="5">
        <v>10.039999999999999</v>
      </c>
      <c r="G26" s="5">
        <f>50+25/30*5</f>
        <v>54.166666666666664</v>
      </c>
      <c r="H26" s="5"/>
      <c r="I26" s="5"/>
      <c r="J26" s="6">
        <v>75</v>
      </c>
      <c r="K26" s="6">
        <v>25</v>
      </c>
      <c r="L26" s="6">
        <f t="shared" si="0"/>
        <v>35</v>
      </c>
    </row>
    <row r="27" spans="1:13">
      <c r="A27" s="22" t="s">
        <v>52</v>
      </c>
      <c r="B27" s="4">
        <v>43367</v>
      </c>
      <c r="C27" s="4">
        <v>43308</v>
      </c>
      <c r="D27" s="5"/>
      <c r="E27" s="49"/>
      <c r="F27" s="5">
        <v>10.86</v>
      </c>
      <c r="G27" s="5">
        <f>25+25/30*27</f>
        <v>47.5</v>
      </c>
      <c r="H27" s="5"/>
      <c r="I27" s="5"/>
      <c r="J27" s="6">
        <v>75</v>
      </c>
      <c r="K27" s="18">
        <v>25</v>
      </c>
      <c r="L27" s="18">
        <f t="shared" si="0"/>
        <v>35</v>
      </c>
    </row>
    <row r="28" spans="1:13">
      <c r="A28" s="22" t="s">
        <v>50</v>
      </c>
      <c r="B28" s="4">
        <v>43367</v>
      </c>
      <c r="C28" s="4">
        <v>43312</v>
      </c>
      <c r="D28" s="5"/>
      <c r="E28" s="49"/>
      <c r="F28" s="5">
        <v>10.86</v>
      </c>
      <c r="G28" s="5">
        <f>25+25/30*24</f>
        <v>45</v>
      </c>
      <c r="H28" s="5"/>
      <c r="I28" s="5"/>
      <c r="J28" s="6">
        <v>70</v>
      </c>
      <c r="K28" s="18">
        <v>25</v>
      </c>
      <c r="L28" s="18">
        <f t="shared" si="0"/>
        <v>31.499999999999996</v>
      </c>
    </row>
    <row r="29" spans="1:13">
      <c r="A29" s="22" t="s">
        <v>55</v>
      </c>
      <c r="B29" s="4">
        <v>43363</v>
      </c>
      <c r="C29" s="4">
        <v>43440</v>
      </c>
      <c r="D29" s="5"/>
      <c r="E29" s="49"/>
      <c r="F29" s="5">
        <v>14.11</v>
      </c>
      <c r="G29" s="5">
        <f>25*2+25*16/30</f>
        <v>63.333333333333336</v>
      </c>
      <c r="H29" s="5"/>
      <c r="I29" s="5"/>
      <c r="J29" s="6">
        <v>75</v>
      </c>
      <c r="K29" s="18">
        <v>25</v>
      </c>
      <c r="L29" s="18">
        <f t="shared" si="0"/>
        <v>35</v>
      </c>
    </row>
    <row r="30" spans="1:13">
      <c r="A30" s="22" t="s">
        <v>54</v>
      </c>
      <c r="B30" s="4">
        <v>43167</v>
      </c>
      <c r="C30" s="4">
        <v>43455</v>
      </c>
      <c r="D30" s="5"/>
      <c r="E30" s="49"/>
      <c r="F30" s="5">
        <v>10.86</v>
      </c>
      <c r="G30" s="5">
        <f>9*25+25*13/30</f>
        <v>235.83333333333334</v>
      </c>
      <c r="H30" s="5"/>
      <c r="I30" s="5"/>
      <c r="J30" s="6">
        <v>90</v>
      </c>
      <c r="K30" s="18">
        <v>36</v>
      </c>
      <c r="L30" s="18">
        <f t="shared" si="0"/>
        <v>37.799999999999997</v>
      </c>
    </row>
    <row r="31" spans="1:13">
      <c r="A31" s="22" t="s">
        <v>57</v>
      </c>
      <c r="B31" s="4">
        <v>43478</v>
      </c>
      <c r="C31" s="4">
        <v>43536</v>
      </c>
      <c r="D31" s="5"/>
      <c r="E31" s="49"/>
      <c r="F31" s="5">
        <v>10.86</v>
      </c>
      <c r="G31" s="5">
        <v>25</v>
      </c>
      <c r="H31" s="5"/>
      <c r="I31" s="5"/>
      <c r="J31" s="6">
        <v>70</v>
      </c>
      <c r="K31" s="6">
        <v>25</v>
      </c>
      <c r="L31" s="6">
        <f t="shared" si="0"/>
        <v>31.499999999999996</v>
      </c>
    </row>
    <row r="32" spans="1:13">
      <c r="A32" s="22" t="s">
        <v>59</v>
      </c>
      <c r="B32" s="4">
        <v>43528</v>
      </c>
      <c r="C32" s="4">
        <v>43538</v>
      </c>
      <c r="D32" s="5"/>
      <c r="E32" s="49"/>
      <c r="F32" s="5">
        <v>14.92</v>
      </c>
      <c r="G32" s="5">
        <f>77/30*10</f>
        <v>25.666666666666668</v>
      </c>
      <c r="H32" s="5"/>
      <c r="I32" s="5"/>
      <c r="J32" s="6">
        <v>169</v>
      </c>
      <c r="K32" s="6">
        <f>64+11+2</f>
        <v>77</v>
      </c>
      <c r="L32" s="6">
        <f t="shared" si="0"/>
        <v>64.399999999999991</v>
      </c>
    </row>
    <row r="33" spans="1:13">
      <c r="A33" s="22" t="s">
        <v>58</v>
      </c>
      <c r="B33" s="4">
        <v>43534</v>
      </c>
      <c r="C33" s="4">
        <v>43542</v>
      </c>
      <c r="D33" s="5"/>
      <c r="E33" s="49"/>
      <c r="F33" s="5">
        <f>10.86*2</f>
        <v>21.72</v>
      </c>
      <c r="G33" s="5">
        <v>0</v>
      </c>
      <c r="H33" s="5"/>
      <c r="I33" s="5"/>
      <c r="J33" s="6">
        <v>120</v>
      </c>
      <c r="K33" s="6">
        <f>60+11</f>
        <v>71</v>
      </c>
      <c r="L33" s="6">
        <f t="shared" si="0"/>
        <v>34.299999999999997</v>
      </c>
    </row>
    <row r="34" spans="1:13">
      <c r="A34" s="22" t="s">
        <v>61</v>
      </c>
      <c r="B34" s="4">
        <v>43482</v>
      </c>
      <c r="C34" s="4">
        <v>43542</v>
      </c>
      <c r="D34" s="5"/>
      <c r="E34" s="49"/>
      <c r="F34" s="5">
        <v>11.1</v>
      </c>
      <c r="G34" s="5">
        <f>25*2</f>
        <v>50</v>
      </c>
      <c r="H34" s="5"/>
      <c r="I34" s="5"/>
      <c r="J34" s="6">
        <v>70</v>
      </c>
      <c r="K34" s="6">
        <v>26</v>
      </c>
      <c r="L34" s="6">
        <f t="shared" si="0"/>
        <v>30.799999999999997</v>
      </c>
    </row>
    <row r="35" spans="1:13">
      <c r="A35" s="22" t="s">
        <v>63</v>
      </c>
      <c r="B35" s="4">
        <v>43593</v>
      </c>
      <c r="C35" s="4">
        <v>43605</v>
      </c>
      <c r="D35" s="5"/>
      <c r="E35" s="49"/>
      <c r="F35" s="5">
        <f>10.86*2+20</f>
        <v>41.72</v>
      </c>
      <c r="G35" s="5">
        <f>18/30*12</f>
        <v>7.1999999999999993</v>
      </c>
      <c r="H35" s="5"/>
      <c r="I35" s="5"/>
      <c r="J35" s="6">
        <v>100</v>
      </c>
      <c r="K35" s="6">
        <f>11+7</f>
        <v>18</v>
      </c>
      <c r="L35" s="6">
        <f t="shared" si="0"/>
        <v>57.4</v>
      </c>
    </row>
    <row r="36" spans="1:13">
      <c r="A36" s="22" t="s">
        <v>67</v>
      </c>
      <c r="B36" s="4">
        <v>43600</v>
      </c>
      <c r="C36" s="4">
        <v>43629</v>
      </c>
      <c r="D36" s="5"/>
      <c r="E36" s="49"/>
      <c r="F36" s="5">
        <f>10.86*2</f>
        <v>21.72</v>
      </c>
      <c r="G36" s="5">
        <f>22/30*58</f>
        <v>42.533333333333331</v>
      </c>
      <c r="H36" s="5">
        <v>50</v>
      </c>
      <c r="I36" s="5">
        <f>F36+G36+H36</f>
        <v>114.25333333333333</v>
      </c>
      <c r="J36" s="6">
        <v>60</v>
      </c>
      <c r="K36" s="6">
        <v>25</v>
      </c>
      <c r="L36" s="6">
        <v>0</v>
      </c>
    </row>
    <row r="37" spans="1:13">
      <c r="A37" s="22" t="s">
        <v>66</v>
      </c>
      <c r="B37" s="4">
        <v>43600</v>
      </c>
      <c r="C37" s="4">
        <v>43629</v>
      </c>
      <c r="D37" s="5"/>
      <c r="E37" s="49"/>
      <c r="F37" s="5">
        <f>10.86</f>
        <v>10.86</v>
      </c>
      <c r="G37" s="5">
        <f>39/30*58</f>
        <v>75.400000000000006</v>
      </c>
      <c r="H37" s="5"/>
      <c r="I37" s="5">
        <f>F37+G37</f>
        <v>86.26</v>
      </c>
      <c r="J37" s="6">
        <v>110</v>
      </c>
      <c r="K37" s="6">
        <f>25+11+3</f>
        <v>39</v>
      </c>
      <c r="L37" s="6">
        <v>0</v>
      </c>
      <c r="M37" t="s">
        <v>73</v>
      </c>
    </row>
    <row r="38" spans="1:13">
      <c r="A38" s="22" t="s">
        <v>64</v>
      </c>
      <c r="B38" s="4">
        <v>43627</v>
      </c>
      <c r="C38" s="4">
        <v>43629</v>
      </c>
      <c r="D38" s="5"/>
      <c r="E38" s="49"/>
      <c r="F38" s="5">
        <v>10.86</v>
      </c>
      <c r="G38" s="5">
        <f>25/30*2</f>
        <v>1.6666666666666667</v>
      </c>
      <c r="H38" s="5"/>
      <c r="I38" s="5">
        <f>F38+G38</f>
        <v>12.526666666666666</v>
      </c>
      <c r="J38" s="6">
        <v>75</v>
      </c>
      <c r="K38" s="6">
        <v>33</v>
      </c>
      <c r="L38" s="6">
        <f t="shared" si="0"/>
        <v>29.4</v>
      </c>
    </row>
    <row r="39" spans="1:13">
      <c r="A39" s="22" t="s">
        <v>65</v>
      </c>
      <c r="B39" s="4">
        <v>43622</v>
      </c>
      <c r="C39" s="4">
        <v>43650</v>
      </c>
      <c r="D39" s="5"/>
      <c r="E39" s="49"/>
      <c r="F39" s="5">
        <v>10.86</v>
      </c>
      <c r="G39" s="5"/>
      <c r="H39" s="5"/>
      <c r="I39" s="5"/>
      <c r="J39" s="6">
        <v>120</v>
      </c>
      <c r="K39" s="6">
        <v>60</v>
      </c>
      <c r="L39" s="6">
        <f t="shared" si="0"/>
        <v>42</v>
      </c>
    </row>
    <row r="40" spans="1:13">
      <c r="A40" s="22" t="s">
        <v>71</v>
      </c>
      <c r="B40" s="4">
        <v>43635</v>
      </c>
      <c r="C40" s="4">
        <v>43662</v>
      </c>
      <c r="D40" s="5"/>
      <c r="E40" s="49"/>
      <c r="F40" s="5">
        <f>10.86*2</f>
        <v>21.72</v>
      </c>
      <c r="G40" s="5"/>
      <c r="H40" s="5"/>
      <c r="I40" s="5"/>
      <c r="J40" s="6">
        <v>70</v>
      </c>
      <c r="K40" s="6">
        <v>26</v>
      </c>
      <c r="L40" s="6">
        <f t="shared" si="0"/>
        <v>30.799999999999997</v>
      </c>
      <c r="M40" t="s">
        <v>72</v>
      </c>
    </row>
    <row r="41" spans="1:13">
      <c r="A41" s="22" t="s">
        <v>77</v>
      </c>
      <c r="B41" s="4">
        <v>43682</v>
      </c>
      <c r="C41" s="4">
        <v>43682</v>
      </c>
      <c r="D41" s="5"/>
      <c r="E41" s="49"/>
      <c r="F41" s="5"/>
      <c r="G41" s="5"/>
      <c r="H41" s="5"/>
      <c r="I41" s="5"/>
      <c r="J41" s="6">
        <v>10</v>
      </c>
      <c r="K41" s="6">
        <v>1</v>
      </c>
      <c r="L41" s="6">
        <f t="shared" si="0"/>
        <v>6.3</v>
      </c>
    </row>
    <row r="42" spans="1:13">
      <c r="A42" s="2" t="s">
        <v>74</v>
      </c>
      <c r="B42" s="4">
        <v>43661</v>
      </c>
      <c r="C42" s="4">
        <v>43711</v>
      </c>
      <c r="D42" s="5"/>
      <c r="E42" s="49"/>
      <c r="F42" s="5">
        <v>10.86</v>
      </c>
      <c r="G42" s="5">
        <f>36/30*48</f>
        <v>57.599999999999994</v>
      </c>
      <c r="H42" s="5"/>
      <c r="I42" s="5"/>
      <c r="J42" s="6">
        <v>105</v>
      </c>
      <c r="K42" s="6">
        <v>36</v>
      </c>
      <c r="L42" s="6">
        <f t="shared" si="0"/>
        <v>48.3</v>
      </c>
    </row>
    <row r="43" spans="1:13">
      <c r="A43" s="2" t="s">
        <v>75</v>
      </c>
      <c r="B43" s="4">
        <v>43656</v>
      </c>
      <c r="C43" s="4">
        <v>43711</v>
      </c>
      <c r="D43" s="5"/>
      <c r="E43" s="49"/>
      <c r="F43" s="5">
        <v>10.86</v>
      </c>
      <c r="G43" s="5">
        <f>36/30*48</f>
        <v>57.599999999999994</v>
      </c>
      <c r="H43" s="5"/>
      <c r="I43" s="5"/>
      <c r="J43" s="6">
        <v>105</v>
      </c>
      <c r="K43" s="6">
        <v>36</v>
      </c>
      <c r="L43" s="18">
        <f t="shared" si="0"/>
        <v>48.3</v>
      </c>
    </row>
    <row r="44" spans="1:13">
      <c r="A44" s="2" t="s">
        <v>76</v>
      </c>
      <c r="B44" s="4">
        <v>43677</v>
      </c>
      <c r="C44" s="4">
        <v>43713</v>
      </c>
      <c r="D44" s="5"/>
      <c r="E44" s="49"/>
      <c r="F44" s="5">
        <v>24.06</v>
      </c>
      <c r="G44" s="5">
        <f>80/30*35</f>
        <v>93.333333333333329</v>
      </c>
      <c r="H44" s="5">
        <v>40</v>
      </c>
      <c r="I44" s="5"/>
      <c r="J44" s="6">
        <v>149</v>
      </c>
      <c r="K44" s="6">
        <v>80</v>
      </c>
      <c r="L44" s="6">
        <f t="shared" si="0"/>
        <v>48.3</v>
      </c>
      <c r="M44" t="s">
        <v>79</v>
      </c>
    </row>
    <row r="45" spans="1:13">
      <c r="A45" s="22" t="s">
        <v>78</v>
      </c>
      <c r="B45" s="4">
        <v>43747</v>
      </c>
      <c r="C45" s="4">
        <v>43789</v>
      </c>
      <c r="D45" s="5"/>
      <c r="E45" s="49"/>
      <c r="F45" s="5">
        <f>9.51+9.44</f>
        <v>18.95</v>
      </c>
      <c r="G45" s="5">
        <f>52/30*41</f>
        <v>71.066666666666663</v>
      </c>
      <c r="H45" s="5"/>
      <c r="I45" s="5"/>
      <c r="J45" s="17">
        <v>99</v>
      </c>
      <c r="K45" s="18">
        <f>52</f>
        <v>52</v>
      </c>
      <c r="L45" s="6">
        <f t="shared" si="0"/>
        <v>32.9</v>
      </c>
    </row>
    <row r="46" spans="1:13">
      <c r="A46" s="2" t="s">
        <v>81</v>
      </c>
      <c r="B46" s="4">
        <v>43788</v>
      </c>
      <c r="C46" s="4">
        <v>43865</v>
      </c>
      <c r="D46" s="5"/>
      <c r="E46" s="49"/>
      <c r="F46" s="5">
        <v>9.14</v>
      </c>
      <c r="G46" s="5">
        <f>25/30*45</f>
        <v>37.5</v>
      </c>
      <c r="H46" s="5"/>
      <c r="I46" s="5"/>
      <c r="J46" s="6">
        <v>90</v>
      </c>
      <c r="K46" s="6">
        <v>25</v>
      </c>
      <c r="L46" s="27">
        <f t="shared" si="0"/>
        <v>45.5</v>
      </c>
    </row>
    <row r="47" spans="1:13">
      <c r="A47" s="22" t="s">
        <v>87</v>
      </c>
      <c r="B47" s="35">
        <v>43878</v>
      </c>
      <c r="C47" s="35">
        <v>43892</v>
      </c>
      <c r="D47" s="5"/>
      <c r="E47" s="49"/>
      <c r="F47" s="5">
        <v>12.19</v>
      </c>
      <c r="G47" s="5">
        <v>5.5</v>
      </c>
      <c r="H47" s="5"/>
      <c r="I47" s="5"/>
      <c r="J47" s="6">
        <v>25</v>
      </c>
      <c r="K47" s="6">
        <v>11</v>
      </c>
      <c r="L47" s="6">
        <f t="shared" si="0"/>
        <v>9.7999999999999989</v>
      </c>
    </row>
    <row r="48" spans="1:13">
      <c r="A48" s="22" t="s">
        <v>89</v>
      </c>
      <c r="B48" s="35">
        <v>43908</v>
      </c>
      <c r="C48" s="35">
        <v>43893</v>
      </c>
      <c r="D48" s="5"/>
      <c r="E48" s="49"/>
      <c r="F48" s="5">
        <v>9.6</v>
      </c>
      <c r="G48" s="5">
        <v>5.5</v>
      </c>
      <c r="H48" s="5"/>
      <c r="I48" s="5"/>
      <c r="J48" s="6">
        <v>25</v>
      </c>
      <c r="K48" s="6">
        <v>11</v>
      </c>
      <c r="L48" s="6">
        <f t="shared" si="0"/>
        <v>9.7999999999999989</v>
      </c>
    </row>
    <row r="49" spans="1:14">
      <c r="A49" s="22" t="s">
        <v>85</v>
      </c>
      <c r="B49" s="35">
        <v>43881</v>
      </c>
      <c r="C49" s="35">
        <v>43895</v>
      </c>
      <c r="D49" s="5"/>
      <c r="E49" s="49"/>
      <c r="F49" s="5">
        <v>9.14</v>
      </c>
      <c r="G49" s="5">
        <f>11/30*15</f>
        <v>5.5</v>
      </c>
      <c r="H49" s="5"/>
      <c r="I49" s="5"/>
      <c r="J49" s="6">
        <v>25</v>
      </c>
      <c r="K49" s="6">
        <v>11</v>
      </c>
      <c r="L49" s="6">
        <f t="shared" si="0"/>
        <v>9.7999999999999989</v>
      </c>
    </row>
    <row r="50" spans="1:14">
      <c r="A50" s="22" t="s">
        <v>86</v>
      </c>
      <c r="B50" s="35">
        <v>43882</v>
      </c>
      <c r="C50" s="35">
        <v>43896</v>
      </c>
      <c r="D50" s="5"/>
      <c r="E50" s="49"/>
      <c r="F50" s="5">
        <v>12.19</v>
      </c>
      <c r="G50" s="5">
        <f>22/2</f>
        <v>11</v>
      </c>
      <c r="H50" s="5"/>
      <c r="I50" s="5"/>
      <c r="J50" s="6">
        <v>60</v>
      </c>
      <c r="K50" s="6">
        <v>22</v>
      </c>
      <c r="L50" s="6">
        <f t="shared" si="0"/>
        <v>26.599999999999998</v>
      </c>
    </row>
    <row r="51" spans="1:14">
      <c r="A51" s="22" t="s">
        <v>82</v>
      </c>
      <c r="B51" s="45">
        <v>40235</v>
      </c>
      <c r="C51" s="35">
        <v>43901</v>
      </c>
      <c r="D51" s="5"/>
      <c r="E51" s="49"/>
      <c r="F51" s="5">
        <v>9.6</v>
      </c>
      <c r="G51" s="5">
        <f>11/2</f>
        <v>5.5</v>
      </c>
      <c r="H51" s="5"/>
      <c r="I51" s="5"/>
      <c r="J51" s="6">
        <v>25</v>
      </c>
      <c r="K51" s="6">
        <v>11</v>
      </c>
      <c r="L51" s="6">
        <f t="shared" si="0"/>
        <v>9.7999999999999989</v>
      </c>
    </row>
    <row r="52" spans="1:14">
      <c r="A52" s="22" t="s">
        <v>84</v>
      </c>
      <c r="B52" s="35">
        <v>43889</v>
      </c>
      <c r="C52" s="35">
        <v>43903</v>
      </c>
      <c r="D52" s="5"/>
      <c r="E52" s="49"/>
      <c r="F52" s="5">
        <v>9.14</v>
      </c>
      <c r="G52" s="5">
        <f>11/30*15</f>
        <v>5.5</v>
      </c>
      <c r="H52" s="5"/>
      <c r="I52" s="5"/>
      <c r="J52" s="6">
        <v>25</v>
      </c>
      <c r="K52" s="6">
        <v>11</v>
      </c>
      <c r="L52" s="6">
        <f t="shared" si="0"/>
        <v>9.7999999999999989</v>
      </c>
    </row>
    <row r="53" spans="1:14">
      <c r="A53" s="22" t="s">
        <v>80</v>
      </c>
      <c r="B53" s="35">
        <v>43873</v>
      </c>
      <c r="C53" s="35">
        <v>43910</v>
      </c>
      <c r="D53" s="5"/>
      <c r="E53" s="49"/>
      <c r="F53" s="5">
        <v>21.84</v>
      </c>
      <c r="G53" s="5">
        <f>56/30*38</f>
        <v>70.933333333333337</v>
      </c>
      <c r="H53" s="5"/>
      <c r="I53" s="5"/>
      <c r="J53" s="6">
        <v>120</v>
      </c>
      <c r="K53" s="6">
        <v>56</v>
      </c>
      <c r="L53" s="6">
        <f t="shared" si="0"/>
        <v>44.8</v>
      </c>
    </row>
    <row r="54" spans="1:14">
      <c r="A54" s="22" t="s">
        <v>83</v>
      </c>
      <c r="B54" s="35">
        <v>43872</v>
      </c>
      <c r="C54" s="35">
        <v>43913</v>
      </c>
      <c r="D54" s="5"/>
      <c r="E54" s="49"/>
      <c r="F54" s="5">
        <v>12.24</v>
      </c>
      <c r="G54" s="5">
        <f>45/30*42</f>
        <v>63</v>
      </c>
      <c r="H54" s="5"/>
      <c r="I54" s="5"/>
      <c r="J54" s="6">
        <v>85</v>
      </c>
      <c r="K54" s="6">
        <v>45</v>
      </c>
      <c r="L54" s="6">
        <f t="shared" si="0"/>
        <v>28</v>
      </c>
    </row>
    <row r="55" spans="1:14">
      <c r="A55" s="22" t="s">
        <v>88</v>
      </c>
      <c r="B55" s="35">
        <v>43855</v>
      </c>
      <c r="C55" s="35">
        <v>43941</v>
      </c>
      <c r="D55" s="5"/>
      <c r="E55" s="49"/>
      <c r="F55" s="5">
        <v>13.93</v>
      </c>
      <c r="G55" s="5">
        <f>56/30*85</f>
        <v>158.66666666666666</v>
      </c>
      <c r="H55" s="5"/>
      <c r="I55" s="5"/>
      <c r="J55" s="6">
        <v>110</v>
      </c>
      <c r="K55" s="6">
        <v>56</v>
      </c>
      <c r="L55" s="6">
        <f t="shared" si="0"/>
        <v>37.799999999999997</v>
      </c>
    </row>
    <row r="56" spans="1:14">
      <c r="A56" s="22" t="s">
        <v>90</v>
      </c>
      <c r="B56" s="35" t="s">
        <v>96</v>
      </c>
      <c r="C56" s="35">
        <v>44015</v>
      </c>
      <c r="D56" s="5" t="s">
        <v>160</v>
      </c>
      <c r="E56" s="49">
        <v>12.5</v>
      </c>
      <c r="F56" s="5">
        <v>11.29</v>
      </c>
      <c r="G56" s="5">
        <f>100</f>
        <v>100</v>
      </c>
      <c r="H56" s="5"/>
      <c r="I56" s="5"/>
      <c r="J56" s="6">
        <v>75</v>
      </c>
      <c r="K56" s="6">
        <f>25+11</f>
        <v>36</v>
      </c>
      <c r="L56" s="6">
        <f>12.5+(62.5-K56)*0.7</f>
        <v>31.049999999999997</v>
      </c>
      <c r="N56" s="41"/>
    </row>
    <row r="57" spans="1:14">
      <c r="A57" s="22" t="s">
        <v>97</v>
      </c>
      <c r="B57" s="35">
        <v>43990</v>
      </c>
      <c r="C57" s="35">
        <v>44036</v>
      </c>
      <c r="D57" s="5"/>
      <c r="E57" s="49"/>
      <c r="F57" s="5">
        <v>8.75</v>
      </c>
      <c r="G57" s="5">
        <f>56/30*46</f>
        <v>85.866666666666674</v>
      </c>
      <c r="H57" s="5"/>
      <c r="I57" s="5"/>
      <c r="J57" s="6">
        <v>110</v>
      </c>
      <c r="K57" s="6">
        <f>45+11</f>
        <v>56</v>
      </c>
      <c r="L57" s="6">
        <f>(J57-K57)*0.7</f>
        <v>37.799999999999997</v>
      </c>
    </row>
    <row r="58" spans="1:14">
      <c r="A58" s="22" t="s">
        <v>95</v>
      </c>
      <c r="B58" s="35">
        <v>44028</v>
      </c>
      <c r="C58" s="35">
        <v>44040</v>
      </c>
      <c r="D58" s="5"/>
      <c r="E58" s="49"/>
      <c r="F58" s="5">
        <v>8.75</v>
      </c>
      <c r="G58" s="5">
        <f>41/30*12</f>
        <v>16.399999999999999</v>
      </c>
      <c r="H58" s="5"/>
      <c r="I58" s="5"/>
      <c r="J58" s="6">
        <v>60</v>
      </c>
      <c r="K58" s="6">
        <v>41</v>
      </c>
      <c r="L58" s="6">
        <f>(J58-K58)*0.7</f>
        <v>13.299999999999999</v>
      </c>
    </row>
    <row r="59" spans="1:14">
      <c r="A59" s="22" t="s">
        <v>93</v>
      </c>
      <c r="B59" s="35">
        <v>44043</v>
      </c>
      <c r="C59" s="35">
        <v>44043</v>
      </c>
      <c r="D59" s="5" t="s">
        <v>160</v>
      </c>
      <c r="E59" s="49">
        <v>15</v>
      </c>
      <c r="F59" s="5">
        <v>27.02</v>
      </c>
      <c r="G59" s="5">
        <v>0</v>
      </c>
      <c r="H59" s="5"/>
      <c r="I59" s="5"/>
      <c r="J59" s="6">
        <v>160</v>
      </c>
      <c r="K59" s="6">
        <f>45+22</f>
        <v>67</v>
      </c>
      <c r="L59" s="6">
        <f>15+78*0.7</f>
        <v>69.599999999999994</v>
      </c>
      <c r="N59" s="41"/>
    </row>
    <row r="60" spans="1:14">
      <c r="A60" s="22" t="s">
        <v>98</v>
      </c>
      <c r="B60" s="35">
        <v>44048</v>
      </c>
      <c r="C60" s="35">
        <v>44081</v>
      </c>
      <c r="D60" s="5" t="s">
        <v>160</v>
      </c>
      <c r="E60" s="49">
        <v>17.5</v>
      </c>
      <c r="F60" s="5">
        <v>27.88</v>
      </c>
      <c r="G60" s="5">
        <f>58/30*32</f>
        <v>61.866666666666667</v>
      </c>
      <c r="H60" s="5">
        <v>125</v>
      </c>
      <c r="I60" s="5"/>
      <c r="J60" s="6">
        <v>140</v>
      </c>
      <c r="K60" s="6">
        <f>25+33</f>
        <v>58</v>
      </c>
      <c r="L60" s="6">
        <f>17.5+64.5*0.7</f>
        <v>62.65</v>
      </c>
      <c r="N60" s="41"/>
    </row>
    <row r="61" spans="1:14">
      <c r="A61" s="22" t="s">
        <v>91</v>
      </c>
      <c r="B61" s="35">
        <v>44011</v>
      </c>
      <c r="C61" s="35">
        <v>44084</v>
      </c>
      <c r="D61" s="5"/>
      <c r="E61" s="49"/>
      <c r="F61" s="5">
        <v>11.29</v>
      </c>
      <c r="G61" s="5">
        <f>25/30*71</f>
        <v>59.166666666666671</v>
      </c>
      <c r="H61" s="5"/>
      <c r="I61" s="5"/>
      <c r="J61" s="6">
        <v>40</v>
      </c>
      <c r="K61" s="6">
        <v>25</v>
      </c>
      <c r="L61" s="6">
        <f>(J61-K61)*0.7</f>
        <v>10.5</v>
      </c>
    </row>
    <row r="62" spans="1:14">
      <c r="A62" s="2" t="s">
        <v>99</v>
      </c>
      <c r="B62" s="35">
        <v>44084</v>
      </c>
      <c r="C62" s="35">
        <v>44105</v>
      </c>
      <c r="D62" s="5" t="s">
        <v>160</v>
      </c>
      <c r="E62" s="49">
        <v>5</v>
      </c>
      <c r="F62" s="5">
        <v>12.24</v>
      </c>
      <c r="G62" s="5">
        <f>25/30*20</f>
        <v>16.666666666666668</v>
      </c>
      <c r="H62" s="5"/>
      <c r="I62" s="5"/>
      <c r="J62" s="43">
        <v>40</v>
      </c>
      <c r="K62" s="6">
        <v>22</v>
      </c>
      <c r="L62" s="6">
        <f>5+13*0.7</f>
        <v>14.1</v>
      </c>
      <c r="N62" s="41"/>
    </row>
    <row r="63" spans="1:14">
      <c r="A63" s="2" t="s">
        <v>102</v>
      </c>
      <c r="B63" s="4" t="s">
        <v>103</v>
      </c>
      <c r="C63" s="4">
        <v>44110</v>
      </c>
      <c r="D63" s="5" t="s">
        <v>160</v>
      </c>
      <c r="E63" s="49">
        <v>10</v>
      </c>
      <c r="F63" s="5">
        <v>36.65</v>
      </c>
      <c r="G63" s="5">
        <f>115/30*26</f>
        <v>99.666666666666671</v>
      </c>
      <c r="H63" s="5"/>
      <c r="I63" s="5"/>
      <c r="J63" s="6">
        <v>180</v>
      </c>
      <c r="K63" s="6">
        <v>115</v>
      </c>
      <c r="L63" s="6">
        <f>10+55*0.7</f>
        <v>48.5</v>
      </c>
      <c r="N63" s="41"/>
    </row>
    <row r="64" spans="1:14">
      <c r="A64" s="2" t="s">
        <v>94</v>
      </c>
      <c r="B64" s="35">
        <v>44124</v>
      </c>
      <c r="C64" s="35">
        <v>44124</v>
      </c>
      <c r="D64" s="5"/>
      <c r="E64" s="49"/>
      <c r="F64" s="5">
        <v>7.25</v>
      </c>
      <c r="G64" s="5">
        <v>0</v>
      </c>
      <c r="H64" s="5"/>
      <c r="I64" s="5"/>
      <c r="J64" s="6">
        <v>25</v>
      </c>
      <c r="K64" s="6">
        <v>11</v>
      </c>
      <c r="L64" s="6">
        <f>(J64-K64)*0.7</f>
        <v>9.7999999999999989</v>
      </c>
    </row>
    <row r="65" spans="1:13">
      <c r="A65" s="2" t="s">
        <v>100</v>
      </c>
      <c r="B65" s="4">
        <v>44018</v>
      </c>
      <c r="C65" s="4">
        <v>44124</v>
      </c>
      <c r="D65" s="40"/>
      <c r="E65" s="2"/>
      <c r="F65" s="5">
        <v>9.5</v>
      </c>
      <c r="G65" s="5">
        <f>25/30*104</f>
        <v>86.666666666666671</v>
      </c>
      <c r="H65" s="5"/>
      <c r="I65" s="5"/>
      <c r="J65" s="6">
        <v>70</v>
      </c>
      <c r="K65" s="6">
        <v>25</v>
      </c>
      <c r="L65" s="6">
        <f>(J65-K65)*0.7</f>
        <v>31.499999999999996</v>
      </c>
    </row>
    <row r="66" spans="1:13">
      <c r="A66" s="2" t="s">
        <v>101</v>
      </c>
      <c r="B66" s="4">
        <v>44070</v>
      </c>
      <c r="C66" s="4">
        <v>44131</v>
      </c>
      <c r="D66" s="40"/>
      <c r="E66" s="2"/>
      <c r="F66" s="5">
        <v>13.93</v>
      </c>
      <c r="G66" s="5">
        <f>71/30*60</f>
        <v>142</v>
      </c>
      <c r="H66" s="5"/>
      <c r="I66" s="5"/>
      <c r="J66" s="6">
        <v>120</v>
      </c>
      <c r="K66" s="6">
        <f>60+11</f>
        <v>71</v>
      </c>
      <c r="L66" s="6">
        <f>(J66-K66)*0.7</f>
        <v>34.299999999999997</v>
      </c>
    </row>
    <row r="67" spans="1:13">
      <c r="A67" s="22" t="s">
        <v>104</v>
      </c>
      <c r="B67" s="4">
        <v>44159</v>
      </c>
      <c r="C67" s="4">
        <v>44187</v>
      </c>
      <c r="D67" s="40"/>
      <c r="E67" s="2"/>
      <c r="F67" s="5">
        <v>13.93</v>
      </c>
      <c r="G67" s="5">
        <f>36/30*28</f>
        <v>33.6</v>
      </c>
      <c r="H67" s="5"/>
      <c r="I67" s="5"/>
      <c r="J67" s="6">
        <v>110</v>
      </c>
      <c r="K67" s="6">
        <f>25+11</f>
        <v>36</v>
      </c>
      <c r="L67" s="6">
        <f>(J67-K67)*0.7</f>
        <v>51.8</v>
      </c>
    </row>
    <row r="68" spans="1:13">
      <c r="A68" s="39" t="s">
        <v>120</v>
      </c>
      <c r="B68" s="15">
        <v>44169</v>
      </c>
      <c r="C68" s="15">
        <v>44208</v>
      </c>
      <c r="D68" s="5" t="s">
        <v>160</v>
      </c>
      <c r="E68" s="34">
        <v>10</v>
      </c>
      <c r="F68" s="37"/>
      <c r="G68" s="5">
        <f>41/30*38</f>
        <v>51.933333333333337</v>
      </c>
      <c r="H68" s="5"/>
      <c r="I68" s="5"/>
      <c r="J68" s="17">
        <v>70</v>
      </c>
      <c r="K68" s="26">
        <v>45</v>
      </c>
      <c r="L68" s="37">
        <f>10+(60-45)*0.7</f>
        <v>20.5</v>
      </c>
      <c r="M68" s="1" t="s">
        <v>145</v>
      </c>
    </row>
    <row r="69" spans="1:13">
      <c r="A69" s="22" t="s">
        <v>108</v>
      </c>
      <c r="B69" s="4">
        <v>44185</v>
      </c>
      <c r="C69" s="4">
        <v>44242</v>
      </c>
      <c r="D69" s="5" t="s">
        <v>160</v>
      </c>
      <c r="E69" s="49">
        <v>20</v>
      </c>
      <c r="F69" s="5">
        <v>26.48</v>
      </c>
      <c r="G69" s="5">
        <f>50/30*55</f>
        <v>91.666666666666671</v>
      </c>
      <c r="H69" s="5">
        <v>160</v>
      </c>
      <c r="I69" s="5"/>
      <c r="J69" s="6">
        <v>190</v>
      </c>
      <c r="K69" s="6">
        <v>61</v>
      </c>
      <c r="L69" s="5">
        <f>(20+(170-61)*0.7)</f>
        <v>96.3</v>
      </c>
      <c r="M69" s="1" t="s">
        <v>145</v>
      </c>
    </row>
    <row r="70" spans="1:13">
      <c r="A70" s="22" t="s">
        <v>109</v>
      </c>
      <c r="B70" s="4">
        <v>44209</v>
      </c>
      <c r="C70" s="4">
        <v>44250</v>
      </c>
      <c r="D70" s="5" t="s">
        <v>160</v>
      </c>
      <c r="E70" s="49">
        <v>22.5</v>
      </c>
      <c r="F70" s="5">
        <v>22.83</v>
      </c>
      <c r="G70" s="5">
        <f>100/30*40</f>
        <v>133.33333333333334</v>
      </c>
      <c r="H70" s="5">
        <v>125</v>
      </c>
      <c r="I70" s="5"/>
      <c r="J70" s="6">
        <v>210</v>
      </c>
      <c r="K70" s="6">
        <v>100</v>
      </c>
      <c r="L70" s="6">
        <f>(22.5+87.5*0.7)</f>
        <v>83.75</v>
      </c>
    </row>
    <row r="71" spans="1:13">
      <c r="A71" s="2" t="s">
        <v>113</v>
      </c>
      <c r="B71" s="4">
        <v>44245</v>
      </c>
      <c r="C71" s="4">
        <v>44271</v>
      </c>
      <c r="D71" s="5" t="s">
        <v>160</v>
      </c>
      <c r="E71" s="49">
        <v>15</v>
      </c>
      <c r="F71" s="5">
        <v>26.76</v>
      </c>
      <c r="G71" s="5">
        <f>67/30*28</f>
        <v>62.533333333333331</v>
      </c>
      <c r="H71" s="5"/>
      <c r="I71" s="5"/>
      <c r="J71" s="6">
        <v>140</v>
      </c>
      <c r="K71" s="6">
        <v>67</v>
      </c>
      <c r="L71" s="6">
        <f>(15+0.7*58)</f>
        <v>55.599999999999994</v>
      </c>
    </row>
    <row r="72" spans="1:13">
      <c r="A72" s="2" t="s">
        <v>114</v>
      </c>
      <c r="B72" s="4">
        <v>44222</v>
      </c>
      <c r="C72" s="4">
        <v>44279</v>
      </c>
      <c r="D72" s="5" t="s">
        <v>160</v>
      </c>
      <c r="E72" s="49">
        <v>12.5</v>
      </c>
      <c r="F72" s="5">
        <v>13.4</v>
      </c>
      <c r="G72" s="5">
        <f>56/30*58</f>
        <v>108.26666666666667</v>
      </c>
      <c r="H72" s="5">
        <v>100</v>
      </c>
      <c r="I72" s="5"/>
      <c r="J72" s="6">
        <v>140</v>
      </c>
      <c r="K72" s="6">
        <v>56</v>
      </c>
      <c r="L72" s="5">
        <f>(12.5+71.5*0.7)</f>
        <v>62.55</v>
      </c>
      <c r="M72" s="1" t="s">
        <v>145</v>
      </c>
    </row>
    <row r="73" spans="1:13">
      <c r="A73" s="2" t="s">
        <v>112</v>
      </c>
      <c r="B73" s="4">
        <v>44270</v>
      </c>
      <c r="C73" s="4">
        <v>44286</v>
      </c>
      <c r="D73" s="5" t="s">
        <v>160</v>
      </c>
      <c r="E73" s="49">
        <v>17.5</v>
      </c>
      <c r="F73" s="5">
        <v>31.96</v>
      </c>
      <c r="G73" s="5">
        <f>55/30*16</f>
        <v>29.333333333333332</v>
      </c>
      <c r="H73" s="5">
        <v>75</v>
      </c>
      <c r="I73" s="5"/>
      <c r="J73" s="6">
        <v>100</v>
      </c>
      <c r="K73" s="6">
        <v>55</v>
      </c>
      <c r="L73" s="6">
        <f>(17.5+27.5*0.7)</f>
        <v>36.75</v>
      </c>
    </row>
    <row r="74" spans="1:13">
      <c r="A74" s="2" t="s">
        <v>119</v>
      </c>
      <c r="B74" s="4">
        <v>44281</v>
      </c>
      <c r="C74" s="4">
        <v>44316</v>
      </c>
      <c r="D74" s="40"/>
      <c r="E74" s="2"/>
      <c r="F74" s="5">
        <v>14.26</v>
      </c>
      <c r="G74" s="5">
        <f>45/30*34</f>
        <v>51</v>
      </c>
      <c r="H74" s="5"/>
      <c r="I74" s="5"/>
      <c r="J74" s="6">
        <v>110</v>
      </c>
      <c r="K74" s="6">
        <v>45</v>
      </c>
      <c r="L74" s="6">
        <f>(65*0.7)</f>
        <v>45.5</v>
      </c>
    </row>
    <row r="75" spans="1:13">
      <c r="A75" s="22" t="s">
        <v>121</v>
      </c>
      <c r="B75" s="4">
        <v>44316</v>
      </c>
      <c r="C75" s="4">
        <v>44354</v>
      </c>
      <c r="D75" s="40"/>
      <c r="E75" s="2"/>
      <c r="F75" s="5">
        <v>15.15</v>
      </c>
      <c r="G75" s="5">
        <f>36/30*37</f>
        <v>44.4</v>
      </c>
      <c r="H75" s="5"/>
      <c r="I75" s="5"/>
      <c r="J75" s="6">
        <v>110</v>
      </c>
      <c r="K75" s="6">
        <v>36</v>
      </c>
      <c r="L75" s="5">
        <f>(J75-K75)*0.7</f>
        <v>51.8</v>
      </c>
      <c r="M75" s="1" t="s">
        <v>145</v>
      </c>
    </row>
    <row r="76" spans="1:13">
      <c r="A76" s="22" t="s">
        <v>126</v>
      </c>
      <c r="B76" s="4">
        <v>44336</v>
      </c>
      <c r="C76" s="4">
        <v>44370</v>
      </c>
      <c r="D76" s="5" t="s">
        <v>161</v>
      </c>
      <c r="E76" s="49">
        <v>17.5</v>
      </c>
      <c r="F76" s="5">
        <v>35.78</v>
      </c>
      <c r="G76" s="5">
        <f>58/30*33</f>
        <v>63.8</v>
      </c>
      <c r="H76" s="5">
        <v>50</v>
      </c>
      <c r="I76" s="5"/>
      <c r="J76" s="6">
        <v>150</v>
      </c>
      <c r="K76" s="6">
        <v>58</v>
      </c>
      <c r="L76" s="6">
        <f>(17.5+74.5*0.7)</f>
        <v>69.650000000000006</v>
      </c>
    </row>
    <row r="77" spans="1:13">
      <c r="A77" s="44" t="s">
        <v>125</v>
      </c>
      <c r="B77" s="4">
        <v>44342</v>
      </c>
      <c r="C77" s="4">
        <v>44386</v>
      </c>
      <c r="D77" s="5" t="s">
        <v>160</v>
      </c>
      <c r="E77" s="49">
        <v>12.5</v>
      </c>
      <c r="F77" s="5">
        <v>15.46</v>
      </c>
      <c r="G77" s="5">
        <f>36/30*43</f>
        <v>51.6</v>
      </c>
      <c r="H77" s="5">
        <f>50+45</f>
        <v>95</v>
      </c>
      <c r="I77" s="5"/>
      <c r="J77" s="6">
        <v>110</v>
      </c>
      <c r="K77" s="6">
        <v>36</v>
      </c>
      <c r="L77" s="6">
        <f>(12.5+(97.5-36)*0.7)</f>
        <v>55.55</v>
      </c>
    </row>
    <row r="78" spans="1:13">
      <c r="A78" s="44" t="s">
        <v>129</v>
      </c>
      <c r="B78" s="4">
        <v>44348</v>
      </c>
      <c r="C78" s="4">
        <v>44389</v>
      </c>
      <c r="D78" s="5" t="s">
        <v>160</v>
      </c>
      <c r="E78" s="49">
        <v>12.5</v>
      </c>
      <c r="F78" s="5">
        <v>26.22</v>
      </c>
      <c r="G78" s="5">
        <f>71/30*42</f>
        <v>99.4</v>
      </c>
      <c r="H78" s="5">
        <f>50+45</f>
        <v>95</v>
      </c>
      <c r="I78" s="5"/>
      <c r="J78" s="6">
        <v>140</v>
      </c>
      <c r="K78" s="6">
        <v>71</v>
      </c>
      <c r="L78" s="6">
        <f>(12.5+(127.5-71)*0.7)</f>
        <v>52.05</v>
      </c>
    </row>
    <row r="79" spans="1:13">
      <c r="A79" s="44" t="s">
        <v>124</v>
      </c>
      <c r="B79" s="4">
        <v>44348</v>
      </c>
      <c r="C79" s="4">
        <v>44389</v>
      </c>
      <c r="D79" s="40"/>
      <c r="E79" s="2"/>
      <c r="F79" s="5">
        <v>11.62</v>
      </c>
      <c r="G79" s="5">
        <f>26/30*42</f>
        <v>36.4</v>
      </c>
      <c r="H79" s="5">
        <v>65</v>
      </c>
      <c r="I79" s="5"/>
      <c r="J79" s="6">
        <v>70</v>
      </c>
      <c r="K79" s="6">
        <v>26</v>
      </c>
      <c r="L79" s="6">
        <f>(70-26)*0.7</f>
        <v>30.799999999999997</v>
      </c>
    </row>
    <row r="80" spans="1:13">
      <c r="A80" s="44" t="s">
        <v>132</v>
      </c>
      <c r="B80" s="4">
        <v>44407</v>
      </c>
      <c r="C80" s="4">
        <v>44461</v>
      </c>
      <c r="D80" s="40"/>
      <c r="E80" s="2"/>
      <c r="F80" s="5">
        <v>9.8800000000000008</v>
      </c>
      <c r="G80" s="5">
        <f>25/30*52</f>
        <v>43.333333333333336</v>
      </c>
      <c r="H80" s="5"/>
      <c r="I80" s="5"/>
      <c r="J80" s="6">
        <v>70</v>
      </c>
      <c r="K80" s="6">
        <v>25</v>
      </c>
      <c r="L80" s="6">
        <f>45*0.7</f>
        <v>31.499999999999996</v>
      </c>
    </row>
    <row r="81" spans="1:12">
      <c r="A81" s="44" t="s">
        <v>133</v>
      </c>
      <c r="B81" s="4">
        <v>44432</v>
      </c>
      <c r="C81" s="4">
        <v>44467</v>
      </c>
      <c r="D81" s="40"/>
      <c r="E81" s="2"/>
      <c r="F81" s="5">
        <v>9.8800000000000008</v>
      </c>
      <c r="G81" s="5">
        <f>25/30*34</f>
        <v>28.333333333333336</v>
      </c>
      <c r="H81" s="5"/>
      <c r="I81" s="5"/>
      <c r="J81" s="6">
        <v>70</v>
      </c>
      <c r="K81" s="6">
        <v>25</v>
      </c>
      <c r="L81" s="6">
        <f>45*0.7</f>
        <v>31.499999999999996</v>
      </c>
    </row>
    <row r="82" spans="1:12">
      <c r="A82" s="44" t="s">
        <v>135</v>
      </c>
      <c r="B82" s="35">
        <v>44460</v>
      </c>
      <c r="C82" s="35">
        <v>44475</v>
      </c>
      <c r="D82" s="40"/>
      <c r="E82" s="2"/>
      <c r="F82" s="5">
        <v>19.760000000000002</v>
      </c>
      <c r="G82" s="5">
        <f>43/30*15</f>
        <v>21.5</v>
      </c>
      <c r="H82" s="5">
        <v>65</v>
      </c>
      <c r="I82" s="5"/>
      <c r="J82" s="6">
        <v>90</v>
      </c>
      <c r="K82" s="6">
        <v>43</v>
      </c>
      <c r="L82" s="6">
        <f>(J82-K82)*0.7</f>
        <v>32.9</v>
      </c>
    </row>
    <row r="83" spans="1:12">
      <c r="A83" s="44" t="s">
        <v>141</v>
      </c>
      <c r="B83" s="35">
        <v>44459</v>
      </c>
      <c r="C83" s="35">
        <v>44481</v>
      </c>
      <c r="D83" s="10" t="s">
        <v>161</v>
      </c>
      <c r="E83" s="12">
        <v>10</v>
      </c>
      <c r="F83" s="5">
        <v>15.15</v>
      </c>
      <c r="G83" s="5">
        <f>46/30*22</f>
        <v>33.733333333333334</v>
      </c>
      <c r="H83" s="5">
        <v>80</v>
      </c>
      <c r="I83" s="5"/>
      <c r="J83" s="6">
        <v>120</v>
      </c>
      <c r="K83" s="6">
        <v>46</v>
      </c>
      <c r="L83" s="6">
        <f>10+(120-56)*0.7</f>
        <v>54.8</v>
      </c>
    </row>
    <row r="84" spans="1:12">
      <c r="A84" s="44" t="s">
        <v>140</v>
      </c>
      <c r="B84" s="35">
        <v>44449</v>
      </c>
      <c r="C84" s="35">
        <v>44482</v>
      </c>
      <c r="D84" s="5" t="s">
        <v>160</v>
      </c>
      <c r="E84" s="49">
        <v>10</v>
      </c>
      <c r="F84" s="5">
        <v>13.4</v>
      </c>
      <c r="G84" s="5">
        <f>60/30*33</f>
        <v>66</v>
      </c>
      <c r="H84" s="5">
        <v>80</v>
      </c>
      <c r="I84" s="5"/>
      <c r="J84" s="6">
        <v>120</v>
      </c>
      <c r="K84" s="6">
        <v>61</v>
      </c>
      <c r="L84" s="6">
        <f>(10+49*0.7)</f>
        <v>44.3</v>
      </c>
    </row>
    <row r="85" spans="1:12">
      <c r="A85" s="44" t="s">
        <v>137</v>
      </c>
      <c r="B85" s="35">
        <v>44474</v>
      </c>
      <c r="C85" s="35">
        <v>44487</v>
      </c>
      <c r="D85" s="10" t="s">
        <v>161</v>
      </c>
      <c r="E85" s="12">
        <v>12.5</v>
      </c>
      <c r="F85" s="5">
        <v>15.15</v>
      </c>
      <c r="G85" s="5">
        <f>71/30*13</f>
        <v>30.766666666666666</v>
      </c>
      <c r="H85" s="5">
        <v>95</v>
      </c>
      <c r="I85" s="5"/>
      <c r="J85" s="6">
        <v>140</v>
      </c>
      <c r="K85" s="6">
        <v>71</v>
      </c>
      <c r="L85" s="6">
        <f>12.5+(56.5)*0.7</f>
        <v>52.05</v>
      </c>
    </row>
    <row r="86" spans="1:12">
      <c r="A86" s="44" t="s">
        <v>143</v>
      </c>
      <c r="B86" s="35">
        <v>43717</v>
      </c>
      <c r="C86" s="35">
        <v>44505</v>
      </c>
      <c r="D86" s="40"/>
      <c r="E86" s="49"/>
      <c r="F86" s="5">
        <v>13.4</v>
      </c>
      <c r="G86" s="5">
        <f>36*25+36/30*26</f>
        <v>931.2</v>
      </c>
      <c r="H86" s="5"/>
      <c r="I86" s="5"/>
      <c r="J86" s="6">
        <v>110</v>
      </c>
      <c r="K86" s="6">
        <v>36</v>
      </c>
      <c r="L86" s="6">
        <f>(110-36)*0.7</f>
        <v>51.8</v>
      </c>
    </row>
    <row r="87" spans="1:12">
      <c r="A87" s="44" t="s">
        <v>139</v>
      </c>
      <c r="B87" s="35">
        <v>44492</v>
      </c>
      <c r="C87" s="35">
        <v>44539</v>
      </c>
      <c r="D87" s="40"/>
      <c r="E87" s="49"/>
      <c r="F87" s="5">
        <v>16.350000000000001</v>
      </c>
      <c r="G87" s="5">
        <f>71/30*46</f>
        <v>108.86666666666667</v>
      </c>
      <c r="H87" s="5">
        <v>95</v>
      </c>
      <c r="I87" s="5"/>
      <c r="J87" s="6">
        <v>140</v>
      </c>
      <c r="K87" s="6">
        <v>71</v>
      </c>
      <c r="L87" s="6">
        <f>(140-71)*0.7/30*21</f>
        <v>33.809999999999995</v>
      </c>
    </row>
    <row r="88" spans="1:12">
      <c r="A88" s="44" t="s">
        <v>144</v>
      </c>
      <c r="B88" s="35">
        <v>44526</v>
      </c>
      <c r="C88" s="35">
        <v>44550</v>
      </c>
      <c r="D88" s="5" t="s">
        <v>160</v>
      </c>
      <c r="E88" s="49">
        <v>12.5</v>
      </c>
      <c r="F88" s="5">
        <v>13.4</v>
      </c>
      <c r="G88" s="5">
        <f>83/30*24</f>
        <v>66.400000000000006</v>
      </c>
      <c r="H88" s="5"/>
      <c r="I88" s="5"/>
      <c r="J88" s="6">
        <v>160</v>
      </c>
      <c r="K88" s="6">
        <v>94</v>
      </c>
      <c r="L88" s="6">
        <f>15+(160-15-94)*0.7/30*10</f>
        <v>26.9</v>
      </c>
    </row>
    <row r="89" spans="1:12">
      <c r="A89" s="44" t="s">
        <v>149</v>
      </c>
      <c r="B89" s="35">
        <v>44880</v>
      </c>
      <c r="C89" s="35">
        <v>44575</v>
      </c>
      <c r="D89" s="40"/>
      <c r="E89" s="49"/>
      <c r="F89" s="5">
        <v>13.4</v>
      </c>
      <c r="G89" s="5"/>
      <c r="H89" s="5">
        <v>50</v>
      </c>
      <c r="I89" s="5"/>
      <c r="J89" s="6">
        <v>140</v>
      </c>
      <c r="K89" s="6">
        <f>71</f>
        <v>71</v>
      </c>
      <c r="L89" s="6">
        <f>(140-71)*0.7</f>
        <v>48.3</v>
      </c>
    </row>
    <row r="90" spans="1:12">
      <c r="A90" s="44" t="s">
        <v>146</v>
      </c>
      <c r="B90" s="4">
        <v>44586</v>
      </c>
      <c r="C90" s="4">
        <v>44615</v>
      </c>
      <c r="D90" s="10" t="s">
        <v>161</v>
      </c>
      <c r="E90" s="12">
        <v>12.5</v>
      </c>
      <c r="F90" s="5">
        <v>15.46</v>
      </c>
      <c r="G90" s="5">
        <f>27/30*28</f>
        <v>25.2</v>
      </c>
      <c r="H90" s="5">
        <v>110</v>
      </c>
      <c r="I90" s="5"/>
      <c r="J90" s="6">
        <v>124</v>
      </c>
      <c r="K90" s="6">
        <v>51</v>
      </c>
      <c r="L90" s="6">
        <f>12.5+(124-63.5)*0.7</f>
        <v>54.849999999999994</v>
      </c>
    </row>
    <row r="91" spans="1:12">
      <c r="A91" s="44" t="s">
        <v>148</v>
      </c>
      <c r="B91" s="4">
        <v>44579</v>
      </c>
      <c r="C91" s="4">
        <v>44594</v>
      </c>
      <c r="D91" s="40"/>
      <c r="E91" s="49"/>
      <c r="F91" s="5">
        <v>13.4</v>
      </c>
      <c r="G91" s="5">
        <f>22/30*14</f>
        <v>10.266666666666666</v>
      </c>
      <c r="H91" s="5">
        <v>30</v>
      </c>
      <c r="I91" s="5"/>
      <c r="J91" s="6">
        <v>50</v>
      </c>
      <c r="K91" s="6">
        <v>22</v>
      </c>
      <c r="L91" s="6">
        <f>(50-22)*0.7</f>
        <v>19.599999999999998</v>
      </c>
    </row>
    <row r="92" spans="1:12">
      <c r="A92" s="44" t="s">
        <v>150</v>
      </c>
      <c r="B92" s="4">
        <v>44899</v>
      </c>
      <c r="C92" s="4">
        <v>44607</v>
      </c>
      <c r="D92" s="12" t="s">
        <v>160</v>
      </c>
      <c r="E92" s="12">
        <v>12.5</v>
      </c>
      <c r="F92" s="5">
        <v>13.4</v>
      </c>
      <c r="G92" s="5">
        <f>71/30*61</f>
        <v>144.36666666666667</v>
      </c>
      <c r="H92" s="5">
        <v>80</v>
      </c>
      <c r="I92" s="5"/>
      <c r="J92" s="6">
        <v>120</v>
      </c>
      <c r="K92" s="6">
        <v>60</v>
      </c>
      <c r="L92" s="6">
        <f>12.5+(120-72.5)*0.7</f>
        <v>45.75</v>
      </c>
    </row>
    <row r="93" spans="1:12">
      <c r="A93" s="44" t="s">
        <v>151</v>
      </c>
      <c r="B93" s="4">
        <v>44926</v>
      </c>
      <c r="C93" s="4">
        <v>44649</v>
      </c>
      <c r="D93" s="40"/>
      <c r="E93" s="40"/>
      <c r="F93" s="5">
        <v>9.0299999999999994</v>
      </c>
      <c r="G93" s="5">
        <f>25*2+25/30*29</f>
        <v>74.166666666666671</v>
      </c>
      <c r="H93" s="5">
        <v>80</v>
      </c>
      <c r="I93" s="5"/>
      <c r="J93" s="6">
        <v>67.5</v>
      </c>
      <c r="K93" s="6">
        <v>25</v>
      </c>
      <c r="L93" s="6">
        <f>(67.5-25)*0.7</f>
        <v>29.749999999999996</v>
      </c>
    </row>
    <row r="94" spans="1:12">
      <c r="A94" s="44" t="s">
        <v>152</v>
      </c>
      <c r="B94" s="4">
        <v>44852</v>
      </c>
      <c r="C94" s="4">
        <v>44649</v>
      </c>
      <c r="D94" s="40"/>
      <c r="E94" s="40"/>
      <c r="F94" s="5">
        <v>9.0299999999999994</v>
      </c>
      <c r="G94" s="5">
        <f>45*4+45/30*13</f>
        <v>199.5</v>
      </c>
      <c r="H94" s="5">
        <v>80</v>
      </c>
      <c r="I94" s="5"/>
      <c r="J94" s="6">
        <v>67.5</v>
      </c>
      <c r="K94" s="6">
        <v>45</v>
      </c>
      <c r="L94" s="6">
        <f>(J94-K94)*0.7</f>
        <v>15.749999999999998</v>
      </c>
    </row>
    <row r="95" spans="1:12">
      <c r="A95" s="44" t="s">
        <v>153</v>
      </c>
      <c r="B95" s="4">
        <v>44623</v>
      </c>
      <c r="C95" s="4">
        <v>44623</v>
      </c>
      <c r="D95" s="40"/>
      <c r="E95" s="40"/>
      <c r="F95" s="5">
        <v>11.03</v>
      </c>
      <c r="G95" s="5">
        <v>0</v>
      </c>
      <c r="H95" s="5">
        <v>15</v>
      </c>
      <c r="I95" s="5"/>
      <c r="J95" s="6">
        <v>30</v>
      </c>
      <c r="K95" s="6">
        <v>12</v>
      </c>
      <c r="L95" s="6">
        <f>(J95-K95)*0.7</f>
        <v>12.6</v>
      </c>
    </row>
    <row r="96" spans="1:12">
      <c r="A96" s="44" t="s">
        <v>154</v>
      </c>
      <c r="B96" s="4">
        <v>44881</v>
      </c>
      <c r="C96" s="4">
        <v>44628</v>
      </c>
      <c r="D96" s="40"/>
      <c r="E96" s="40"/>
      <c r="F96" s="5">
        <v>9.0299999999999994</v>
      </c>
      <c r="G96" s="5">
        <f>65*3+65/30*22</f>
        <v>242.66666666666666</v>
      </c>
      <c r="H96" s="5">
        <v>95</v>
      </c>
      <c r="I96" s="5"/>
      <c r="J96" s="6">
        <v>112</v>
      </c>
      <c r="K96" s="6">
        <v>65</v>
      </c>
      <c r="L96" s="6">
        <f>(J96-K96)*0.7</f>
        <v>32.9</v>
      </c>
    </row>
    <row r="97" spans="1:12">
      <c r="A97" s="44" t="s">
        <v>155</v>
      </c>
      <c r="B97" s="4">
        <v>44490</v>
      </c>
      <c r="C97" s="4">
        <v>44648</v>
      </c>
      <c r="D97" s="40"/>
      <c r="E97" s="40"/>
      <c r="F97" s="5">
        <v>13.4</v>
      </c>
      <c r="G97" s="5">
        <f>45*5+45/30*7</f>
        <v>235.5</v>
      </c>
      <c r="H97" s="5">
        <v>80</v>
      </c>
      <c r="I97" s="5"/>
      <c r="J97" s="6">
        <v>67.5</v>
      </c>
      <c r="K97" s="6">
        <v>45</v>
      </c>
      <c r="L97" s="6">
        <f>(J97-K97)*0.7</f>
        <v>15.749999999999998</v>
      </c>
    </row>
    <row r="98" spans="1:12">
      <c r="A98" s="52" t="s">
        <v>156</v>
      </c>
      <c r="B98" s="24">
        <v>44489</v>
      </c>
      <c r="C98" s="24">
        <v>44651</v>
      </c>
      <c r="D98" s="48"/>
      <c r="E98" s="48"/>
      <c r="F98" s="25">
        <v>15.46</v>
      </c>
      <c r="G98" s="25">
        <f>50*5+50/10</f>
        <v>255</v>
      </c>
      <c r="H98" s="25">
        <v>145</v>
      </c>
      <c r="I98" s="25"/>
      <c r="J98" s="27">
        <v>125</v>
      </c>
      <c r="K98" s="27">
        <v>50</v>
      </c>
      <c r="L98" s="27">
        <f>(J98-K98)*0.7</f>
        <v>52.5</v>
      </c>
    </row>
    <row r="99" spans="1:12">
      <c r="A99" s="52" t="s">
        <v>157</v>
      </c>
      <c r="B99" s="24">
        <v>44627</v>
      </c>
      <c r="C99" s="24">
        <v>44627</v>
      </c>
      <c r="D99" s="10" t="s">
        <v>161</v>
      </c>
      <c r="E99" s="12">
        <v>10</v>
      </c>
      <c r="F99" s="25">
        <v>15.46</v>
      </c>
      <c r="G99" s="25">
        <v>0</v>
      </c>
      <c r="H99" s="25">
        <v>0</v>
      </c>
      <c r="I99" s="25"/>
      <c r="J99" s="27">
        <v>100</v>
      </c>
      <c r="K99" s="27">
        <v>44</v>
      </c>
      <c r="L99" s="27">
        <f>10+(46)*0.7</f>
        <v>42.199999999999996</v>
      </c>
    </row>
    <row r="100" spans="1:12">
      <c r="A100" s="52" t="s">
        <v>158</v>
      </c>
      <c r="B100" s="24">
        <v>44627</v>
      </c>
      <c r="C100" s="24">
        <v>44627</v>
      </c>
      <c r="D100" s="38" t="s">
        <v>161</v>
      </c>
      <c r="E100" s="54">
        <v>12.5</v>
      </c>
      <c r="F100" s="25">
        <v>15.46</v>
      </c>
      <c r="G100" s="25">
        <v>0</v>
      </c>
      <c r="H100" s="25">
        <v>0</v>
      </c>
      <c r="I100" s="25"/>
      <c r="J100" s="27">
        <v>125</v>
      </c>
      <c r="K100" s="27">
        <v>55</v>
      </c>
      <c r="L100" s="27">
        <f>12.5+(57.5)*0.7</f>
        <v>52.75</v>
      </c>
    </row>
    <row r="101" spans="1:12">
      <c r="A101" s="44" t="s">
        <v>168</v>
      </c>
      <c r="B101" s="4">
        <v>44636</v>
      </c>
      <c r="C101" s="4">
        <v>44659</v>
      </c>
      <c r="D101" s="40"/>
      <c r="E101" s="5"/>
      <c r="F101" s="5">
        <v>13.72</v>
      </c>
      <c r="G101" s="5">
        <f>55/30*24</f>
        <v>44</v>
      </c>
      <c r="H101" s="5">
        <v>80</v>
      </c>
      <c r="I101" s="5"/>
      <c r="J101" s="6">
        <v>120</v>
      </c>
      <c r="K101" s="6">
        <v>55</v>
      </c>
      <c r="L101" s="6">
        <f>10+(110-K101)*0.7</f>
        <v>48.5</v>
      </c>
    </row>
    <row r="102" spans="1:12">
      <c r="A102" s="44" t="s">
        <v>171</v>
      </c>
      <c r="B102" s="4">
        <v>44648</v>
      </c>
      <c r="C102" s="4">
        <v>44734</v>
      </c>
      <c r="D102" s="40"/>
      <c r="E102" s="5"/>
      <c r="F102" s="5">
        <v>13.72</v>
      </c>
      <c r="G102" s="5">
        <f>56/30*84</f>
        <v>156.80000000000001</v>
      </c>
      <c r="H102" s="5">
        <v>95</v>
      </c>
      <c r="I102" s="5"/>
      <c r="J102" s="6">
        <v>140</v>
      </c>
      <c r="K102" s="6">
        <v>56</v>
      </c>
      <c r="L102" s="6">
        <f>(140-56)*0.7</f>
        <v>58.8</v>
      </c>
    </row>
    <row r="103" spans="1:12">
      <c r="A103" s="44" t="s">
        <v>172</v>
      </c>
      <c r="B103" s="4">
        <v>44705</v>
      </c>
      <c r="C103" s="4">
        <v>44715</v>
      </c>
      <c r="D103" s="40"/>
      <c r="E103" s="5"/>
      <c r="F103" s="5">
        <v>10.039999999999999</v>
      </c>
      <c r="G103" s="5">
        <f>25/30*9</f>
        <v>7.5</v>
      </c>
      <c r="H103" s="5"/>
      <c r="I103" s="5"/>
      <c r="J103" s="6">
        <v>50</v>
      </c>
      <c r="K103" s="6">
        <v>25</v>
      </c>
      <c r="L103" s="6">
        <f>(50-25)*0.7</f>
        <v>17.5</v>
      </c>
    </row>
    <row r="104" spans="1:12">
      <c r="A104" s="44" t="s">
        <v>173</v>
      </c>
      <c r="B104" s="4">
        <v>44704</v>
      </c>
      <c r="C104" s="4">
        <v>44721</v>
      </c>
      <c r="D104" s="10" t="s">
        <v>161</v>
      </c>
      <c r="E104" s="12">
        <v>10</v>
      </c>
      <c r="F104" s="5">
        <v>13.72</v>
      </c>
      <c r="G104" s="5">
        <f>37/30*16</f>
        <v>19.733333333333334</v>
      </c>
      <c r="H104" s="5">
        <f>50+45</f>
        <v>95</v>
      </c>
      <c r="I104" s="5"/>
      <c r="J104" s="6">
        <v>110</v>
      </c>
      <c r="K104" s="6">
        <v>37</v>
      </c>
      <c r="L104" s="6">
        <f>10+(100-37)*0.7</f>
        <v>54.099999999999994</v>
      </c>
    </row>
    <row r="105" spans="1:12">
      <c r="A105" s="28"/>
      <c r="B105" s="36"/>
      <c r="C105" s="36"/>
      <c r="D105" s="28"/>
      <c r="E105" s="28"/>
      <c r="F105" s="30"/>
      <c r="G105" s="28"/>
      <c r="H105" s="30"/>
      <c r="K105" s="50" t="s">
        <v>4</v>
      </c>
      <c r="L105" s="50">
        <f>SUM(L2:L104)</f>
        <v>3839.0100000000016</v>
      </c>
    </row>
    <row r="106" spans="1:12">
      <c r="A106" s="28"/>
      <c r="C106" s="15"/>
      <c r="D106" s="1"/>
      <c r="E106" s="1"/>
      <c r="F106" s="1"/>
      <c r="G106" s="1"/>
      <c r="H106" s="1"/>
      <c r="I106" s="1"/>
      <c r="J106" s="1"/>
      <c r="K106" s="29"/>
      <c r="L106" s="29"/>
    </row>
    <row r="108" spans="1:12">
      <c r="F108" s="30"/>
    </row>
    <row r="109" spans="1:12">
      <c r="G109" s="42"/>
    </row>
  </sheetData>
  <autoFilter ref="A1:N1">
    <sortState ref="A2:M104">
      <sortCondition ref="C1"/>
    </sortState>
  </autoFilter>
  <pageMargins left="0.7" right="0.7" top="0.75" bottom="0.75" header="0.3" footer="0.3"/>
  <pageSetup paperSize="9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>
  <dimension ref="A1:O111"/>
  <sheetViews>
    <sheetView topLeftCell="A94" workbookViewId="0">
      <selection activeCell="E111" sqref="E111"/>
    </sheetView>
  </sheetViews>
  <sheetFormatPr baseColWidth="10" defaultRowHeight="15"/>
  <cols>
    <col min="1" max="1" width="26.5703125" customWidth="1"/>
    <col min="2" max="2" width="22.85546875" customWidth="1"/>
    <col min="3" max="3" width="12.42578125" customWidth="1"/>
  </cols>
  <sheetData>
    <row r="1" spans="1:14" ht="60">
      <c r="A1" s="2"/>
      <c r="B1" s="3" t="s">
        <v>0</v>
      </c>
      <c r="C1" s="3" t="s">
        <v>182</v>
      </c>
      <c r="D1" s="3" t="s">
        <v>1</v>
      </c>
      <c r="E1" s="3" t="s">
        <v>159</v>
      </c>
      <c r="F1" s="3" t="s">
        <v>162</v>
      </c>
      <c r="G1" s="3" t="s">
        <v>3</v>
      </c>
      <c r="H1" s="3" t="s">
        <v>11</v>
      </c>
      <c r="I1" s="3" t="s">
        <v>36</v>
      </c>
      <c r="J1" s="3" t="s">
        <v>12</v>
      </c>
      <c r="K1" s="3" t="s">
        <v>5</v>
      </c>
      <c r="L1" s="3" t="s">
        <v>7</v>
      </c>
      <c r="M1" s="3" t="s">
        <v>8</v>
      </c>
      <c r="N1" s="14" t="s">
        <v>35</v>
      </c>
    </row>
    <row r="2" spans="1:14">
      <c r="A2" s="2" t="s">
        <v>10</v>
      </c>
      <c r="B2" s="4">
        <v>41852</v>
      </c>
      <c r="C2" s="4"/>
      <c r="D2" s="4">
        <v>41852</v>
      </c>
      <c r="E2" s="5"/>
      <c r="F2" s="49"/>
      <c r="G2" s="5">
        <v>10</v>
      </c>
      <c r="H2" s="5"/>
      <c r="I2" s="5"/>
      <c r="J2" s="5">
        <f>E2+G2+I2</f>
        <v>10</v>
      </c>
      <c r="K2" s="6">
        <v>40</v>
      </c>
      <c r="L2" s="6">
        <v>25</v>
      </c>
      <c r="M2" s="6">
        <f t="shared" ref="M2:M54" si="0">(K2-L2)*0.7</f>
        <v>10.5</v>
      </c>
    </row>
    <row r="3" spans="1:14">
      <c r="A3" s="2" t="s">
        <v>17</v>
      </c>
      <c r="B3" s="4"/>
      <c r="C3" s="4"/>
      <c r="D3" s="4">
        <v>42209</v>
      </c>
      <c r="E3" s="5"/>
      <c r="F3" s="49"/>
      <c r="G3" s="5"/>
      <c r="H3" s="5"/>
      <c r="I3" s="5"/>
      <c r="J3" s="5"/>
      <c r="K3" s="6">
        <v>90</v>
      </c>
      <c r="L3" s="6">
        <v>25</v>
      </c>
      <c r="M3" s="6">
        <f t="shared" si="0"/>
        <v>45.5</v>
      </c>
    </row>
    <row r="4" spans="1:14">
      <c r="A4" s="2" t="s">
        <v>15</v>
      </c>
      <c r="B4" s="4">
        <v>42272</v>
      </c>
      <c r="C4" s="4"/>
      <c r="D4" s="4">
        <v>42275</v>
      </c>
      <c r="E4" s="5">
        <v>50</v>
      </c>
      <c r="F4" s="49"/>
      <c r="G4" s="5"/>
      <c r="H4" s="5">
        <f>25/30*3</f>
        <v>2.5</v>
      </c>
      <c r="I4" s="5"/>
      <c r="J4" s="5">
        <f>E4+G4+I4</f>
        <v>50</v>
      </c>
      <c r="K4" s="6">
        <v>40</v>
      </c>
      <c r="L4" s="6">
        <v>25</v>
      </c>
      <c r="M4" s="6">
        <f t="shared" si="0"/>
        <v>10.5</v>
      </c>
    </row>
    <row r="5" spans="1:14">
      <c r="A5" s="2" t="s">
        <v>18</v>
      </c>
      <c r="B5" s="2"/>
      <c r="C5" s="2"/>
      <c r="D5" s="4">
        <v>42335</v>
      </c>
      <c r="E5" s="5"/>
      <c r="F5" s="49"/>
      <c r="G5" s="5"/>
      <c r="H5" s="5"/>
      <c r="I5" s="5"/>
      <c r="J5" s="5"/>
      <c r="K5" s="6">
        <v>90</v>
      </c>
      <c r="L5" s="6">
        <v>25</v>
      </c>
      <c r="M5" s="6">
        <f t="shared" si="0"/>
        <v>45.5</v>
      </c>
    </row>
    <row r="6" spans="1:14">
      <c r="A6" s="2" t="s">
        <v>16</v>
      </c>
      <c r="B6" s="2"/>
      <c r="C6" s="2"/>
      <c r="D6" s="4">
        <v>42396</v>
      </c>
      <c r="E6" s="5"/>
      <c r="F6" s="49"/>
      <c r="G6" s="5"/>
      <c r="H6" s="5"/>
      <c r="I6" s="5"/>
      <c r="J6" s="5"/>
      <c r="K6" s="6">
        <v>90</v>
      </c>
      <c r="L6" s="6">
        <v>25</v>
      </c>
      <c r="M6" s="6">
        <f t="shared" si="0"/>
        <v>45.5</v>
      </c>
    </row>
    <row r="7" spans="1:14">
      <c r="A7" s="2" t="s">
        <v>22</v>
      </c>
      <c r="B7" s="4">
        <v>42546</v>
      </c>
      <c r="C7" s="4"/>
      <c r="D7" s="4">
        <v>42571</v>
      </c>
      <c r="E7" s="5"/>
      <c r="F7" s="49"/>
      <c r="G7" s="5">
        <f>6.9+8.5</f>
        <v>15.4</v>
      </c>
      <c r="H7" s="5">
        <f>25*25/30</f>
        <v>20.833333333333332</v>
      </c>
      <c r="I7" s="5"/>
      <c r="J7" s="5"/>
      <c r="K7" s="6">
        <v>120</v>
      </c>
      <c r="L7" s="6">
        <v>25</v>
      </c>
      <c r="M7" s="6">
        <f t="shared" si="0"/>
        <v>66.5</v>
      </c>
    </row>
    <row r="8" spans="1:14">
      <c r="A8" s="2" t="s">
        <v>23</v>
      </c>
      <c r="B8" s="4">
        <v>42560</v>
      </c>
      <c r="C8" s="4"/>
      <c r="D8" s="4">
        <v>42571</v>
      </c>
      <c r="E8" s="5"/>
      <c r="F8" s="49"/>
      <c r="G8" s="5">
        <v>8.5</v>
      </c>
      <c r="H8" s="5">
        <f>25*41/30</f>
        <v>34.166666666666664</v>
      </c>
      <c r="I8" s="5"/>
      <c r="J8" s="5"/>
      <c r="K8" s="6">
        <v>107.5</v>
      </c>
      <c r="L8" s="6">
        <v>25</v>
      </c>
      <c r="M8" s="6">
        <f t="shared" si="0"/>
        <v>57.749999999999993</v>
      </c>
    </row>
    <row r="9" spans="1:14">
      <c r="A9" s="2" t="s">
        <v>24</v>
      </c>
      <c r="B9" s="4">
        <v>42530</v>
      </c>
      <c r="C9" s="4"/>
      <c r="D9" s="4">
        <v>42579</v>
      </c>
      <c r="E9" s="5"/>
      <c r="F9" s="49"/>
      <c r="G9" s="5">
        <f>8.5+6.9</f>
        <v>15.4</v>
      </c>
      <c r="H9" s="5">
        <f>25*52/30</f>
        <v>43.333333333333336</v>
      </c>
      <c r="I9" s="5"/>
      <c r="J9" s="5"/>
      <c r="K9" s="6">
        <v>90</v>
      </c>
      <c r="L9" s="6">
        <v>25</v>
      </c>
      <c r="M9" s="6">
        <f t="shared" si="0"/>
        <v>45.5</v>
      </c>
    </row>
    <row r="10" spans="1:14">
      <c r="A10" s="2" t="s">
        <v>26</v>
      </c>
      <c r="B10" s="4">
        <v>42633</v>
      </c>
      <c r="C10" s="4"/>
      <c r="D10" s="4">
        <v>42644</v>
      </c>
      <c r="E10" s="5"/>
      <c r="F10" s="49"/>
      <c r="G10" s="5">
        <v>8.17</v>
      </c>
      <c r="H10" s="5">
        <f>25/30*10</f>
        <v>8.3333333333333339</v>
      </c>
      <c r="I10" s="5"/>
      <c r="J10" s="5"/>
      <c r="K10" s="6">
        <v>70</v>
      </c>
      <c r="L10" s="6">
        <v>25</v>
      </c>
      <c r="M10" s="6">
        <f t="shared" si="0"/>
        <v>31.499999999999996</v>
      </c>
    </row>
    <row r="11" spans="1:14">
      <c r="A11" s="2" t="s">
        <v>27</v>
      </c>
      <c r="B11" s="4">
        <v>42656</v>
      </c>
      <c r="C11" s="4"/>
      <c r="D11" s="4">
        <v>42705</v>
      </c>
      <c r="E11" s="5"/>
      <c r="F11" s="49"/>
      <c r="G11" s="5">
        <v>8.17</v>
      </c>
      <c r="H11" s="5">
        <f>L11/30*47</f>
        <v>39.166666666666671</v>
      </c>
      <c r="I11" s="5"/>
      <c r="J11" s="5"/>
      <c r="K11" s="6">
        <v>40</v>
      </c>
      <c r="L11" s="6">
        <v>25</v>
      </c>
      <c r="M11" s="6">
        <f t="shared" si="0"/>
        <v>10.5</v>
      </c>
    </row>
    <row r="12" spans="1:14">
      <c r="A12" s="2" t="s">
        <v>29</v>
      </c>
      <c r="B12" s="4">
        <v>42683</v>
      </c>
      <c r="C12" s="4"/>
      <c r="D12" s="4">
        <v>42718</v>
      </c>
      <c r="E12" s="5"/>
      <c r="F12" s="49"/>
      <c r="G12" s="5">
        <v>8.9700000000000006</v>
      </c>
      <c r="H12" s="5">
        <f>L12/30*35</f>
        <v>42</v>
      </c>
      <c r="I12" s="5"/>
      <c r="J12" s="5"/>
      <c r="K12" s="6">
        <f>105</f>
        <v>105</v>
      </c>
      <c r="L12" s="6">
        <v>36</v>
      </c>
      <c r="M12" s="6">
        <f t="shared" si="0"/>
        <v>48.3</v>
      </c>
    </row>
    <row r="13" spans="1:14">
      <c r="A13" s="2" t="s">
        <v>28</v>
      </c>
      <c r="B13" s="4">
        <v>42711</v>
      </c>
      <c r="C13" s="4"/>
      <c r="D13" s="4">
        <v>42734</v>
      </c>
      <c r="E13" s="5"/>
      <c r="F13" s="49"/>
      <c r="G13" s="5">
        <v>8.17</v>
      </c>
      <c r="H13" s="5">
        <f>L13/30*23</f>
        <v>19.166666666666668</v>
      </c>
      <c r="I13" s="5"/>
      <c r="J13" s="5"/>
      <c r="K13" s="6">
        <v>40</v>
      </c>
      <c r="L13" s="6">
        <v>25</v>
      </c>
      <c r="M13" s="6">
        <f t="shared" si="0"/>
        <v>10.5</v>
      </c>
    </row>
    <row r="14" spans="1:14">
      <c r="A14" s="2" t="s">
        <v>30</v>
      </c>
      <c r="B14" s="4">
        <v>42732</v>
      </c>
      <c r="C14" s="4"/>
      <c r="D14" s="4">
        <v>42759</v>
      </c>
      <c r="E14" s="5"/>
      <c r="F14" s="49"/>
      <c r="G14" s="5">
        <v>18.8</v>
      </c>
      <c r="H14" s="5">
        <f>L14/30*27</f>
        <v>23.400000000000002</v>
      </c>
      <c r="I14" s="5"/>
      <c r="J14" s="5"/>
      <c r="K14" s="6">
        <v>90</v>
      </c>
      <c r="L14" s="6">
        <v>26</v>
      </c>
      <c r="M14" s="6">
        <f t="shared" si="0"/>
        <v>44.8</v>
      </c>
    </row>
    <row r="15" spans="1:14">
      <c r="A15" s="2" t="s">
        <v>31</v>
      </c>
      <c r="B15" s="4">
        <v>42735</v>
      </c>
      <c r="C15" s="4"/>
      <c r="D15" s="4">
        <v>42782</v>
      </c>
      <c r="E15" s="5">
        <v>50</v>
      </c>
      <c r="F15" s="49"/>
      <c r="G15" s="5">
        <v>20.63</v>
      </c>
      <c r="H15" s="5">
        <f>L15/30*46</f>
        <v>42.933333333333337</v>
      </c>
      <c r="I15" s="5"/>
      <c r="J15" s="5"/>
      <c r="K15" s="6">
        <v>92</v>
      </c>
      <c r="L15" s="6">
        <v>28</v>
      </c>
      <c r="M15" s="6">
        <f t="shared" si="0"/>
        <v>44.8</v>
      </c>
    </row>
    <row r="16" spans="1:14">
      <c r="A16" s="2" t="s">
        <v>32</v>
      </c>
      <c r="B16" s="4">
        <v>42857</v>
      </c>
      <c r="C16" s="4"/>
      <c r="D16" s="4">
        <v>42866</v>
      </c>
      <c r="E16" s="5"/>
      <c r="F16" s="49"/>
      <c r="G16" s="5"/>
      <c r="H16" s="5">
        <f>23/30*9</f>
        <v>6.9</v>
      </c>
      <c r="I16" s="5">
        <f>60*0.7</f>
        <v>42</v>
      </c>
      <c r="J16" s="5"/>
      <c r="K16" s="6">
        <v>60</v>
      </c>
      <c r="L16" s="6">
        <v>23</v>
      </c>
      <c r="M16" s="6">
        <f t="shared" si="0"/>
        <v>25.9</v>
      </c>
    </row>
    <row r="17" spans="1:14">
      <c r="A17" s="2" t="s">
        <v>37</v>
      </c>
      <c r="B17" s="4">
        <v>42891</v>
      </c>
      <c r="C17" s="4"/>
      <c r="D17" s="4">
        <v>42915</v>
      </c>
      <c r="E17" s="5"/>
      <c r="F17" s="49"/>
      <c r="G17" s="5">
        <v>6.83</v>
      </c>
      <c r="H17" s="5">
        <f>24/30*24</f>
        <v>19.200000000000003</v>
      </c>
      <c r="I17" s="5"/>
      <c r="J17" s="5"/>
      <c r="K17" s="6">
        <v>70</v>
      </c>
      <c r="L17" s="6">
        <v>24</v>
      </c>
      <c r="M17" s="6">
        <f t="shared" si="0"/>
        <v>32.199999999999996</v>
      </c>
    </row>
    <row r="18" spans="1:14">
      <c r="A18" s="2" t="s">
        <v>39</v>
      </c>
      <c r="B18" s="4">
        <v>43081</v>
      </c>
      <c r="C18" s="4"/>
      <c r="D18" s="4">
        <v>43109</v>
      </c>
      <c r="E18" s="5"/>
      <c r="F18" s="49"/>
      <c r="G18" s="5">
        <v>9.83</v>
      </c>
      <c r="H18" s="5">
        <f>36/30*28</f>
        <v>33.6</v>
      </c>
      <c r="I18" s="5"/>
      <c r="J18" s="5"/>
      <c r="K18" s="6">
        <v>120</v>
      </c>
      <c r="L18" s="6">
        <v>36</v>
      </c>
      <c r="M18" s="6">
        <f t="shared" si="0"/>
        <v>58.8</v>
      </c>
    </row>
    <row r="19" spans="1:14">
      <c r="A19" s="22" t="s">
        <v>56</v>
      </c>
      <c r="B19" s="4">
        <v>43361</v>
      </c>
      <c r="C19" s="4"/>
      <c r="D19" s="4">
        <v>43132</v>
      </c>
      <c r="E19" s="5"/>
      <c r="F19" s="49"/>
      <c r="G19" s="5">
        <v>14.11</v>
      </c>
      <c r="H19" s="5">
        <f>25*4+25/30*12</f>
        <v>110</v>
      </c>
      <c r="I19" s="5"/>
      <c r="J19" s="5"/>
      <c r="K19" s="6">
        <v>75</v>
      </c>
      <c r="L19" s="6">
        <v>25</v>
      </c>
      <c r="M19" s="6">
        <f t="shared" si="0"/>
        <v>35</v>
      </c>
    </row>
    <row r="20" spans="1:14">
      <c r="A20" s="2" t="s">
        <v>40</v>
      </c>
      <c r="B20" s="4">
        <v>43106</v>
      </c>
      <c r="C20" s="4"/>
      <c r="D20" s="4">
        <v>43146</v>
      </c>
      <c r="E20" s="5"/>
      <c r="F20" s="49"/>
      <c r="G20" s="5">
        <v>8.2899999999999991</v>
      </c>
      <c r="H20" s="5">
        <f>25/30*39</f>
        <v>32.5</v>
      </c>
      <c r="I20" s="5"/>
      <c r="J20" s="5"/>
      <c r="K20" s="6">
        <v>70</v>
      </c>
      <c r="L20" s="6">
        <v>26</v>
      </c>
      <c r="M20" s="6">
        <f t="shared" si="0"/>
        <v>30.799999999999997</v>
      </c>
    </row>
    <row r="21" spans="1:14">
      <c r="A21" s="9" t="s">
        <v>44</v>
      </c>
      <c r="B21" s="4">
        <v>43196</v>
      </c>
      <c r="C21" s="4"/>
      <c r="D21" s="4">
        <v>43250</v>
      </c>
      <c r="E21" s="5"/>
      <c r="F21" s="49"/>
      <c r="G21" s="5">
        <v>13.78</v>
      </c>
      <c r="H21" s="5">
        <f>25*24/30+25</f>
        <v>45</v>
      </c>
      <c r="I21" s="5"/>
      <c r="J21" s="5"/>
      <c r="K21" s="6">
        <f>60</f>
        <v>60</v>
      </c>
      <c r="L21" s="6">
        <v>25</v>
      </c>
      <c r="M21" s="6">
        <f t="shared" si="0"/>
        <v>24.5</v>
      </c>
    </row>
    <row r="22" spans="1:14">
      <c r="A22" s="22" t="s">
        <v>47</v>
      </c>
      <c r="B22" s="4">
        <v>43355</v>
      </c>
      <c r="C22" s="4"/>
      <c r="D22" s="4">
        <v>43277</v>
      </c>
      <c r="E22" s="5"/>
      <c r="F22" s="49"/>
      <c r="G22" s="5">
        <v>19.98</v>
      </c>
      <c r="H22" s="5">
        <f>36*2+36/30*16</f>
        <v>91.2</v>
      </c>
      <c r="I22" s="5"/>
      <c r="J22" s="5"/>
      <c r="K22" s="6">
        <v>105</v>
      </c>
      <c r="L22" s="6">
        <v>36</v>
      </c>
      <c r="M22" s="6">
        <f t="shared" si="0"/>
        <v>48.3</v>
      </c>
    </row>
    <row r="23" spans="1:14">
      <c r="A23" s="22" t="s">
        <v>48</v>
      </c>
      <c r="B23" s="4">
        <v>43367</v>
      </c>
      <c r="C23" s="4"/>
      <c r="D23" s="4">
        <v>43284</v>
      </c>
      <c r="E23" s="5"/>
      <c r="F23" s="49"/>
      <c r="G23" s="5">
        <v>9.1</v>
      </c>
      <c r="H23" s="5">
        <f>25+25/30*27</f>
        <v>47.5</v>
      </c>
      <c r="I23" s="5"/>
      <c r="J23" s="5"/>
      <c r="K23" s="6">
        <v>75</v>
      </c>
      <c r="L23" s="6">
        <v>25</v>
      </c>
      <c r="M23" s="6">
        <f t="shared" si="0"/>
        <v>35</v>
      </c>
    </row>
    <row r="24" spans="1:14">
      <c r="A24" s="2" t="s">
        <v>45</v>
      </c>
      <c r="B24" s="4"/>
      <c r="C24" s="4"/>
      <c r="D24" s="4">
        <v>43286</v>
      </c>
      <c r="E24" s="5"/>
      <c r="F24" s="49"/>
      <c r="G24" s="5">
        <v>11.56</v>
      </c>
      <c r="H24" s="5"/>
      <c r="I24" s="5"/>
      <c r="J24" s="5"/>
      <c r="K24" s="6">
        <v>150</v>
      </c>
      <c r="L24" s="6">
        <v>76</v>
      </c>
      <c r="M24" s="6">
        <f t="shared" si="0"/>
        <v>51.8</v>
      </c>
      <c r="N24" s="20"/>
    </row>
    <row r="25" spans="1:14">
      <c r="A25" s="22" t="s">
        <v>49</v>
      </c>
      <c r="B25" s="4">
        <v>43367</v>
      </c>
      <c r="C25" s="4"/>
      <c r="D25" s="4">
        <v>43291</v>
      </c>
      <c r="E25" s="5"/>
      <c r="F25" s="49"/>
      <c r="G25" s="5">
        <v>10.039999999999999</v>
      </c>
      <c r="H25" s="5">
        <f>50+25/30*14</f>
        <v>61.666666666666671</v>
      </c>
      <c r="I25" s="5"/>
      <c r="J25" s="5"/>
      <c r="K25" s="6">
        <v>70</v>
      </c>
      <c r="L25" s="6">
        <v>25</v>
      </c>
      <c r="M25" s="6">
        <f t="shared" si="0"/>
        <v>31.499999999999996</v>
      </c>
    </row>
    <row r="26" spans="1:14">
      <c r="A26" s="22" t="s">
        <v>51</v>
      </c>
      <c r="B26" s="4">
        <v>43358</v>
      </c>
      <c r="C26" s="4"/>
      <c r="D26" s="4">
        <v>43291</v>
      </c>
      <c r="E26" s="5"/>
      <c r="F26" s="49"/>
      <c r="G26" s="5">
        <v>10.039999999999999</v>
      </c>
      <c r="H26" s="5">
        <f>50+25/30*5</f>
        <v>54.166666666666664</v>
      </c>
      <c r="I26" s="5"/>
      <c r="J26" s="5"/>
      <c r="K26" s="6">
        <v>75</v>
      </c>
      <c r="L26" s="6">
        <v>25</v>
      </c>
      <c r="M26" s="6">
        <f t="shared" si="0"/>
        <v>35</v>
      </c>
    </row>
    <row r="27" spans="1:14">
      <c r="A27" s="22" t="s">
        <v>52</v>
      </c>
      <c r="B27" s="4">
        <v>43367</v>
      </c>
      <c r="C27" s="4"/>
      <c r="D27" s="4">
        <v>43308</v>
      </c>
      <c r="E27" s="5"/>
      <c r="F27" s="49"/>
      <c r="G27" s="5">
        <v>10.86</v>
      </c>
      <c r="H27" s="5">
        <f>25+25/30*27</f>
        <v>47.5</v>
      </c>
      <c r="I27" s="5"/>
      <c r="J27" s="5"/>
      <c r="K27" s="6">
        <v>75</v>
      </c>
      <c r="L27" s="18">
        <v>25</v>
      </c>
      <c r="M27" s="18">
        <f t="shared" si="0"/>
        <v>35</v>
      </c>
    </row>
    <row r="28" spans="1:14">
      <c r="A28" s="22" t="s">
        <v>50</v>
      </c>
      <c r="B28" s="4">
        <v>43367</v>
      </c>
      <c r="C28" s="4"/>
      <c r="D28" s="4">
        <v>43312</v>
      </c>
      <c r="E28" s="5"/>
      <c r="F28" s="49"/>
      <c r="G28" s="5">
        <v>10.86</v>
      </c>
      <c r="H28" s="5">
        <f>25+25/30*24</f>
        <v>45</v>
      </c>
      <c r="I28" s="5"/>
      <c r="J28" s="5"/>
      <c r="K28" s="6">
        <v>70</v>
      </c>
      <c r="L28" s="18">
        <v>25</v>
      </c>
      <c r="M28" s="18">
        <f t="shared" si="0"/>
        <v>31.499999999999996</v>
      </c>
    </row>
    <row r="29" spans="1:14">
      <c r="A29" s="22" t="s">
        <v>55</v>
      </c>
      <c r="B29" s="4">
        <v>43363</v>
      </c>
      <c r="C29" s="4"/>
      <c r="D29" s="4">
        <v>43440</v>
      </c>
      <c r="E29" s="5"/>
      <c r="F29" s="49"/>
      <c r="G29" s="5">
        <v>14.11</v>
      </c>
      <c r="H29" s="5">
        <f>25*2+25*16/30</f>
        <v>63.333333333333336</v>
      </c>
      <c r="I29" s="5"/>
      <c r="J29" s="5"/>
      <c r="K29" s="6">
        <v>75</v>
      </c>
      <c r="L29" s="18">
        <v>25</v>
      </c>
      <c r="M29" s="18">
        <f t="shared" si="0"/>
        <v>35</v>
      </c>
    </row>
    <row r="30" spans="1:14">
      <c r="A30" s="22" t="s">
        <v>54</v>
      </c>
      <c r="B30" s="4">
        <v>43167</v>
      </c>
      <c r="C30" s="4"/>
      <c r="D30" s="4">
        <v>43455</v>
      </c>
      <c r="E30" s="5"/>
      <c r="F30" s="49"/>
      <c r="G30" s="5">
        <v>10.86</v>
      </c>
      <c r="H30" s="5">
        <f>9*25+25*13/30</f>
        <v>235.83333333333334</v>
      </c>
      <c r="I30" s="5"/>
      <c r="J30" s="5"/>
      <c r="K30" s="6">
        <v>90</v>
      </c>
      <c r="L30" s="18">
        <v>36</v>
      </c>
      <c r="M30" s="18">
        <f t="shared" si="0"/>
        <v>37.799999999999997</v>
      </c>
    </row>
    <row r="31" spans="1:14">
      <c r="A31" s="22" t="s">
        <v>57</v>
      </c>
      <c r="B31" s="4">
        <v>43478</v>
      </c>
      <c r="C31" s="4"/>
      <c r="D31" s="4">
        <v>43536</v>
      </c>
      <c r="E31" s="5"/>
      <c r="F31" s="49"/>
      <c r="G31" s="5">
        <v>10.86</v>
      </c>
      <c r="H31" s="5">
        <v>25</v>
      </c>
      <c r="I31" s="5"/>
      <c r="J31" s="5"/>
      <c r="K31" s="6">
        <v>70</v>
      </c>
      <c r="L31" s="6">
        <v>25</v>
      </c>
      <c r="M31" s="6">
        <f t="shared" si="0"/>
        <v>31.499999999999996</v>
      </c>
    </row>
    <row r="32" spans="1:14">
      <c r="A32" s="22" t="s">
        <v>59</v>
      </c>
      <c r="B32" s="4">
        <v>43528</v>
      </c>
      <c r="C32" s="4"/>
      <c r="D32" s="4">
        <v>43538</v>
      </c>
      <c r="E32" s="5"/>
      <c r="F32" s="49"/>
      <c r="G32" s="5">
        <v>14.92</v>
      </c>
      <c r="H32" s="5">
        <f>77/30*10</f>
        <v>25.666666666666668</v>
      </c>
      <c r="I32" s="5"/>
      <c r="J32" s="5"/>
      <c r="K32" s="6">
        <v>169</v>
      </c>
      <c r="L32" s="6">
        <f>64+11+2</f>
        <v>77</v>
      </c>
      <c r="M32" s="6">
        <f t="shared" si="0"/>
        <v>64.399999999999991</v>
      </c>
    </row>
    <row r="33" spans="1:14">
      <c r="A33" s="22" t="s">
        <v>58</v>
      </c>
      <c r="B33" s="4">
        <v>43534</v>
      </c>
      <c r="C33" s="4"/>
      <c r="D33" s="4">
        <v>43542</v>
      </c>
      <c r="E33" s="5"/>
      <c r="F33" s="49"/>
      <c r="G33" s="5">
        <f>10.86*2</f>
        <v>21.72</v>
      </c>
      <c r="H33" s="5">
        <v>0</v>
      </c>
      <c r="I33" s="5"/>
      <c r="J33" s="5"/>
      <c r="K33" s="6">
        <v>120</v>
      </c>
      <c r="L33" s="6">
        <f>60+11</f>
        <v>71</v>
      </c>
      <c r="M33" s="6">
        <f t="shared" si="0"/>
        <v>34.299999999999997</v>
      </c>
    </row>
    <row r="34" spans="1:14">
      <c r="A34" s="22" t="s">
        <v>61</v>
      </c>
      <c r="B34" s="4">
        <v>43482</v>
      </c>
      <c r="C34" s="4"/>
      <c r="D34" s="4">
        <v>43542</v>
      </c>
      <c r="E34" s="5"/>
      <c r="F34" s="49"/>
      <c r="G34" s="5">
        <v>11.1</v>
      </c>
      <c r="H34" s="5">
        <f>25*2</f>
        <v>50</v>
      </c>
      <c r="I34" s="5"/>
      <c r="J34" s="5"/>
      <c r="K34" s="6">
        <v>70</v>
      </c>
      <c r="L34" s="6">
        <v>26</v>
      </c>
      <c r="M34" s="6">
        <f t="shared" si="0"/>
        <v>30.799999999999997</v>
      </c>
    </row>
    <row r="35" spans="1:14">
      <c r="A35" s="22" t="s">
        <v>63</v>
      </c>
      <c r="B35" s="4">
        <v>43593</v>
      </c>
      <c r="C35" s="4"/>
      <c r="D35" s="4">
        <v>43605</v>
      </c>
      <c r="E35" s="5"/>
      <c r="F35" s="49"/>
      <c r="G35" s="5">
        <f>10.86*2+20</f>
        <v>41.72</v>
      </c>
      <c r="H35" s="5">
        <f>18/30*12</f>
        <v>7.1999999999999993</v>
      </c>
      <c r="I35" s="5"/>
      <c r="J35" s="5"/>
      <c r="K35" s="6">
        <v>100</v>
      </c>
      <c r="L35" s="6">
        <f>11+7</f>
        <v>18</v>
      </c>
      <c r="M35" s="6">
        <f t="shared" si="0"/>
        <v>57.4</v>
      </c>
    </row>
    <row r="36" spans="1:14">
      <c r="A36" s="22" t="s">
        <v>67</v>
      </c>
      <c r="B36" s="4">
        <v>43600</v>
      </c>
      <c r="C36" s="4"/>
      <c r="D36" s="4">
        <v>43629</v>
      </c>
      <c r="E36" s="5"/>
      <c r="F36" s="49"/>
      <c r="G36" s="5">
        <f>10.86*2</f>
        <v>21.72</v>
      </c>
      <c r="H36" s="5">
        <f>22/30*58</f>
        <v>42.533333333333331</v>
      </c>
      <c r="I36" s="5">
        <v>50</v>
      </c>
      <c r="J36" s="5">
        <f>G36+H36+I36</f>
        <v>114.25333333333333</v>
      </c>
      <c r="K36" s="6">
        <v>60</v>
      </c>
      <c r="L36" s="6">
        <v>25</v>
      </c>
      <c r="M36" s="6">
        <v>0</v>
      </c>
    </row>
    <row r="37" spans="1:14">
      <c r="A37" s="22" t="s">
        <v>66</v>
      </c>
      <c r="B37" s="4">
        <v>43600</v>
      </c>
      <c r="C37" s="4"/>
      <c r="D37" s="4">
        <v>43629</v>
      </c>
      <c r="E37" s="5"/>
      <c r="F37" s="49"/>
      <c r="G37" s="5">
        <f>10.86</f>
        <v>10.86</v>
      </c>
      <c r="H37" s="5">
        <f>39/30*58</f>
        <v>75.400000000000006</v>
      </c>
      <c r="I37" s="5"/>
      <c r="J37" s="5">
        <f>G37+H37</f>
        <v>86.26</v>
      </c>
      <c r="K37" s="6">
        <v>110</v>
      </c>
      <c r="L37" s="6">
        <f>25+11+3</f>
        <v>39</v>
      </c>
      <c r="M37" s="6">
        <v>0</v>
      </c>
      <c r="N37" t="s">
        <v>73</v>
      </c>
    </row>
    <row r="38" spans="1:14">
      <c r="A38" s="22" t="s">
        <v>64</v>
      </c>
      <c r="B38" s="4">
        <v>43627</v>
      </c>
      <c r="C38" s="4"/>
      <c r="D38" s="4">
        <v>43629</v>
      </c>
      <c r="E38" s="5"/>
      <c r="F38" s="49"/>
      <c r="G38" s="5">
        <v>10.86</v>
      </c>
      <c r="H38" s="5">
        <f>25/30*2</f>
        <v>1.6666666666666667</v>
      </c>
      <c r="I38" s="5"/>
      <c r="J38" s="5">
        <f>G38+H38</f>
        <v>12.526666666666666</v>
      </c>
      <c r="K38" s="6">
        <v>75</v>
      </c>
      <c r="L38" s="6">
        <v>33</v>
      </c>
      <c r="M38" s="6">
        <f t="shared" si="0"/>
        <v>29.4</v>
      </c>
    </row>
    <row r="39" spans="1:14">
      <c r="A39" s="22" t="s">
        <v>65</v>
      </c>
      <c r="B39" s="4">
        <v>43622</v>
      </c>
      <c r="C39" s="4"/>
      <c r="D39" s="4">
        <v>43650</v>
      </c>
      <c r="E39" s="5"/>
      <c r="F39" s="49"/>
      <c r="G39" s="5">
        <v>10.86</v>
      </c>
      <c r="H39" s="5"/>
      <c r="I39" s="5"/>
      <c r="J39" s="5"/>
      <c r="K39" s="6">
        <v>120</v>
      </c>
      <c r="L39" s="6">
        <v>60</v>
      </c>
      <c r="M39" s="6">
        <f t="shared" si="0"/>
        <v>42</v>
      </c>
    </row>
    <row r="40" spans="1:14">
      <c r="A40" s="22" t="s">
        <v>71</v>
      </c>
      <c r="B40" s="4">
        <v>43635</v>
      </c>
      <c r="C40" s="4"/>
      <c r="D40" s="4">
        <v>43662</v>
      </c>
      <c r="E40" s="5"/>
      <c r="F40" s="49"/>
      <c r="G40" s="5">
        <f>10.86*2</f>
        <v>21.72</v>
      </c>
      <c r="H40" s="5"/>
      <c r="I40" s="5"/>
      <c r="J40" s="5"/>
      <c r="K40" s="6">
        <v>70</v>
      </c>
      <c r="L40" s="6">
        <v>26</v>
      </c>
      <c r="M40" s="6">
        <f t="shared" si="0"/>
        <v>30.799999999999997</v>
      </c>
      <c r="N40" t="s">
        <v>72</v>
      </c>
    </row>
    <row r="41" spans="1:14">
      <c r="A41" s="2" t="s">
        <v>74</v>
      </c>
      <c r="B41" s="4">
        <v>43661</v>
      </c>
      <c r="C41" s="4"/>
      <c r="D41" s="4">
        <v>43711</v>
      </c>
      <c r="E41" s="5"/>
      <c r="F41" s="49"/>
      <c r="G41" s="5">
        <v>10.86</v>
      </c>
      <c r="H41" s="5">
        <f>36/30*48</f>
        <v>57.599999999999994</v>
      </c>
      <c r="I41" s="5"/>
      <c r="J41" s="5"/>
      <c r="K41" s="6">
        <v>105</v>
      </c>
      <c r="L41" s="6">
        <v>36</v>
      </c>
      <c r="M41" s="6">
        <f t="shared" si="0"/>
        <v>48.3</v>
      </c>
    </row>
    <row r="42" spans="1:14">
      <c r="A42" s="2" t="s">
        <v>75</v>
      </c>
      <c r="B42" s="4">
        <v>43656</v>
      </c>
      <c r="C42" s="4"/>
      <c r="D42" s="4">
        <v>43711</v>
      </c>
      <c r="E42" s="5"/>
      <c r="F42" s="49"/>
      <c r="G42" s="5">
        <v>10.86</v>
      </c>
      <c r="H42" s="5">
        <f>36/30*48</f>
        <v>57.599999999999994</v>
      </c>
      <c r="I42" s="5"/>
      <c r="J42" s="5"/>
      <c r="K42" s="6">
        <v>105</v>
      </c>
      <c r="L42" s="6">
        <v>36</v>
      </c>
      <c r="M42" s="18">
        <f t="shared" si="0"/>
        <v>48.3</v>
      </c>
    </row>
    <row r="43" spans="1:14">
      <c r="A43" s="2" t="s">
        <v>76</v>
      </c>
      <c r="B43" s="4">
        <v>43677</v>
      </c>
      <c r="C43" s="4"/>
      <c r="D43" s="4">
        <v>43713</v>
      </c>
      <c r="E43" s="5"/>
      <c r="F43" s="49"/>
      <c r="G43" s="5">
        <v>24.06</v>
      </c>
      <c r="H43" s="5">
        <f>80/30*35</f>
        <v>93.333333333333329</v>
      </c>
      <c r="I43" s="5">
        <v>40</v>
      </c>
      <c r="J43" s="5"/>
      <c r="K43" s="6">
        <v>149</v>
      </c>
      <c r="L43" s="6">
        <v>80</v>
      </c>
      <c r="M43" s="6">
        <f t="shared" si="0"/>
        <v>48.3</v>
      </c>
      <c r="N43" t="s">
        <v>79</v>
      </c>
    </row>
    <row r="44" spans="1:14">
      <c r="A44" s="22" t="s">
        <v>78</v>
      </c>
      <c r="B44" s="4">
        <v>43747</v>
      </c>
      <c r="C44" s="4"/>
      <c r="D44" s="4">
        <v>43789</v>
      </c>
      <c r="E44" s="5"/>
      <c r="F44" s="49"/>
      <c r="G44" s="5">
        <f>9.51+9.44</f>
        <v>18.95</v>
      </c>
      <c r="H44" s="5">
        <f>52/30*41</f>
        <v>71.066666666666663</v>
      </c>
      <c r="I44" s="5"/>
      <c r="J44" s="5"/>
      <c r="K44" s="17">
        <v>99</v>
      </c>
      <c r="L44" s="18">
        <f>52</f>
        <v>52</v>
      </c>
      <c r="M44" s="6">
        <f t="shared" si="0"/>
        <v>32.9</v>
      </c>
    </row>
    <row r="45" spans="1:14">
      <c r="A45" s="2" t="s">
        <v>81</v>
      </c>
      <c r="B45" s="4">
        <v>43788</v>
      </c>
      <c r="C45" s="4"/>
      <c r="D45" s="4">
        <v>43865</v>
      </c>
      <c r="E45" s="5"/>
      <c r="F45" s="49"/>
      <c r="G45" s="5">
        <v>9.14</v>
      </c>
      <c r="H45" s="5">
        <f>25/30*45</f>
        <v>37.5</v>
      </c>
      <c r="I45" s="5"/>
      <c r="J45" s="5"/>
      <c r="K45" s="6">
        <v>90</v>
      </c>
      <c r="L45" s="6">
        <v>25</v>
      </c>
      <c r="M45" s="27">
        <f t="shared" si="0"/>
        <v>45.5</v>
      </c>
    </row>
    <row r="46" spans="1:14">
      <c r="A46" s="22" t="s">
        <v>87</v>
      </c>
      <c r="B46" s="35">
        <v>43878</v>
      </c>
      <c r="C46" s="35"/>
      <c r="D46" s="35">
        <v>43892</v>
      </c>
      <c r="E46" s="5"/>
      <c r="F46" s="49"/>
      <c r="G46" s="5">
        <v>12.19</v>
      </c>
      <c r="H46" s="5">
        <v>5.5</v>
      </c>
      <c r="I46" s="5"/>
      <c r="J46" s="5"/>
      <c r="K46" s="6">
        <v>25</v>
      </c>
      <c r="L46" s="6">
        <v>11</v>
      </c>
      <c r="M46" s="6">
        <f t="shared" si="0"/>
        <v>9.7999999999999989</v>
      </c>
    </row>
    <row r="47" spans="1:14">
      <c r="A47" s="22" t="s">
        <v>89</v>
      </c>
      <c r="B47" s="35">
        <v>43908</v>
      </c>
      <c r="C47" s="35"/>
      <c r="D47" s="35">
        <v>43893</v>
      </c>
      <c r="E47" s="5"/>
      <c r="F47" s="49"/>
      <c r="G47" s="5">
        <v>9.6</v>
      </c>
      <c r="H47" s="5">
        <v>5.5</v>
      </c>
      <c r="I47" s="5"/>
      <c r="J47" s="5"/>
      <c r="K47" s="6">
        <v>25</v>
      </c>
      <c r="L47" s="6">
        <v>11</v>
      </c>
      <c r="M47" s="6">
        <f t="shared" si="0"/>
        <v>9.7999999999999989</v>
      </c>
    </row>
    <row r="48" spans="1:14">
      <c r="A48" s="22" t="s">
        <v>85</v>
      </c>
      <c r="B48" s="35">
        <v>43881</v>
      </c>
      <c r="C48" s="35"/>
      <c r="D48" s="35">
        <v>43895</v>
      </c>
      <c r="E48" s="5"/>
      <c r="F48" s="49"/>
      <c r="G48" s="5">
        <v>9.14</v>
      </c>
      <c r="H48" s="5">
        <f>11/30*15</f>
        <v>5.5</v>
      </c>
      <c r="I48" s="5"/>
      <c r="J48" s="5"/>
      <c r="K48" s="6">
        <v>25</v>
      </c>
      <c r="L48" s="6">
        <v>11</v>
      </c>
      <c r="M48" s="6">
        <f t="shared" si="0"/>
        <v>9.7999999999999989</v>
      </c>
    </row>
    <row r="49" spans="1:15">
      <c r="A49" s="22" t="s">
        <v>86</v>
      </c>
      <c r="B49" s="35">
        <v>43882</v>
      </c>
      <c r="C49" s="35"/>
      <c r="D49" s="35">
        <v>43896</v>
      </c>
      <c r="E49" s="5"/>
      <c r="F49" s="49"/>
      <c r="G49" s="5">
        <v>12.19</v>
      </c>
      <c r="H49" s="5">
        <f>22/2</f>
        <v>11</v>
      </c>
      <c r="I49" s="5"/>
      <c r="J49" s="5"/>
      <c r="K49" s="6">
        <v>60</v>
      </c>
      <c r="L49" s="6">
        <v>22</v>
      </c>
      <c r="M49" s="6">
        <f t="shared" si="0"/>
        <v>26.599999999999998</v>
      </c>
    </row>
    <row r="50" spans="1:15">
      <c r="A50" s="22" t="s">
        <v>82</v>
      </c>
      <c r="B50" s="45">
        <v>40235</v>
      </c>
      <c r="C50" s="45"/>
      <c r="D50" s="35">
        <v>43901</v>
      </c>
      <c r="E50" s="5"/>
      <c r="F50" s="49"/>
      <c r="G50" s="5">
        <v>9.6</v>
      </c>
      <c r="H50" s="5">
        <f>11/2</f>
        <v>5.5</v>
      </c>
      <c r="I50" s="5"/>
      <c r="J50" s="5"/>
      <c r="K50" s="6">
        <v>25</v>
      </c>
      <c r="L50" s="6">
        <v>11</v>
      </c>
      <c r="M50" s="6">
        <f t="shared" si="0"/>
        <v>9.7999999999999989</v>
      </c>
    </row>
    <row r="51" spans="1:15">
      <c r="A51" s="22" t="s">
        <v>84</v>
      </c>
      <c r="B51" s="35">
        <v>43889</v>
      </c>
      <c r="C51" s="35"/>
      <c r="D51" s="35">
        <v>43903</v>
      </c>
      <c r="E51" s="5"/>
      <c r="F51" s="49"/>
      <c r="G51" s="5">
        <v>9.14</v>
      </c>
      <c r="H51" s="5">
        <f>11/30*15</f>
        <v>5.5</v>
      </c>
      <c r="I51" s="5"/>
      <c r="J51" s="5"/>
      <c r="K51" s="6">
        <v>25</v>
      </c>
      <c r="L51" s="6">
        <v>11</v>
      </c>
      <c r="M51" s="6">
        <f t="shared" si="0"/>
        <v>9.7999999999999989</v>
      </c>
    </row>
    <row r="52" spans="1:15">
      <c r="A52" s="22" t="s">
        <v>80</v>
      </c>
      <c r="B52" s="35">
        <v>43873</v>
      </c>
      <c r="C52" s="35"/>
      <c r="D52" s="35">
        <v>43910</v>
      </c>
      <c r="E52" s="5"/>
      <c r="F52" s="49"/>
      <c r="G52" s="5">
        <v>21.84</v>
      </c>
      <c r="H52" s="5">
        <f>56/30*38</f>
        <v>70.933333333333337</v>
      </c>
      <c r="I52" s="5"/>
      <c r="J52" s="5"/>
      <c r="K52" s="6">
        <v>120</v>
      </c>
      <c r="L52" s="6">
        <v>56</v>
      </c>
      <c r="M52" s="6">
        <f t="shared" si="0"/>
        <v>44.8</v>
      </c>
    </row>
    <row r="53" spans="1:15">
      <c r="A53" s="22" t="s">
        <v>83</v>
      </c>
      <c r="B53" s="35">
        <v>43872</v>
      </c>
      <c r="C53" s="35"/>
      <c r="D53" s="35">
        <v>43913</v>
      </c>
      <c r="E53" s="5"/>
      <c r="F53" s="49"/>
      <c r="G53" s="5">
        <v>12.24</v>
      </c>
      <c r="H53" s="5">
        <f>45/30*42</f>
        <v>63</v>
      </c>
      <c r="I53" s="5"/>
      <c r="J53" s="5"/>
      <c r="K53" s="6">
        <v>85</v>
      </c>
      <c r="L53" s="6">
        <v>45</v>
      </c>
      <c r="M53" s="6">
        <f t="shared" si="0"/>
        <v>28</v>
      </c>
    </row>
    <row r="54" spans="1:15">
      <c r="A54" s="22" t="s">
        <v>88</v>
      </c>
      <c r="B54" s="35">
        <v>43855</v>
      </c>
      <c r="C54" s="35"/>
      <c r="D54" s="35">
        <v>43941</v>
      </c>
      <c r="E54" s="5"/>
      <c r="F54" s="49"/>
      <c r="G54" s="5">
        <v>13.93</v>
      </c>
      <c r="H54" s="5">
        <f>56/30*85</f>
        <v>158.66666666666666</v>
      </c>
      <c r="I54" s="5"/>
      <c r="J54" s="5"/>
      <c r="K54" s="6">
        <v>110</v>
      </c>
      <c r="L54" s="6">
        <v>56</v>
      </c>
      <c r="M54" s="6">
        <f t="shared" si="0"/>
        <v>37.799999999999997</v>
      </c>
    </row>
    <row r="55" spans="1:15">
      <c r="A55" s="22" t="s">
        <v>90</v>
      </c>
      <c r="B55" s="35" t="s">
        <v>96</v>
      </c>
      <c r="C55" s="35"/>
      <c r="D55" s="35">
        <v>44015</v>
      </c>
      <c r="E55" s="5" t="s">
        <v>160</v>
      </c>
      <c r="F55" s="49">
        <v>12.5</v>
      </c>
      <c r="G55" s="5">
        <v>11.29</v>
      </c>
      <c r="H55" s="5">
        <f>100</f>
        <v>100</v>
      </c>
      <c r="I55" s="5"/>
      <c r="J55" s="5"/>
      <c r="K55" s="6">
        <v>75</v>
      </c>
      <c r="L55" s="6">
        <f>25+11</f>
        <v>36</v>
      </c>
      <c r="M55" s="6">
        <f>12.5+(62.5-L55)*0.7</f>
        <v>31.049999999999997</v>
      </c>
      <c r="O55" s="41"/>
    </row>
    <row r="56" spans="1:15">
      <c r="A56" s="22" t="s">
        <v>97</v>
      </c>
      <c r="B56" s="35">
        <v>43990</v>
      </c>
      <c r="C56" s="35"/>
      <c r="D56" s="35">
        <v>44036</v>
      </c>
      <c r="E56" s="5"/>
      <c r="F56" s="49"/>
      <c r="G56" s="5">
        <v>8.75</v>
      </c>
      <c r="H56" s="5">
        <f>56/30*46</f>
        <v>85.866666666666674</v>
      </c>
      <c r="I56" s="5"/>
      <c r="J56" s="5"/>
      <c r="K56" s="6">
        <v>110</v>
      </c>
      <c r="L56" s="6">
        <f>45+11</f>
        <v>56</v>
      </c>
      <c r="M56" s="6">
        <f>(K56-L56)*0.7</f>
        <v>37.799999999999997</v>
      </c>
    </row>
    <row r="57" spans="1:15">
      <c r="A57" s="22" t="s">
        <v>95</v>
      </c>
      <c r="B57" s="35">
        <v>44028</v>
      </c>
      <c r="C57" s="35"/>
      <c r="D57" s="35">
        <v>44040</v>
      </c>
      <c r="E57" s="5"/>
      <c r="F57" s="49"/>
      <c r="G57" s="5">
        <v>8.75</v>
      </c>
      <c r="H57" s="5">
        <f>41/30*12</f>
        <v>16.399999999999999</v>
      </c>
      <c r="I57" s="5"/>
      <c r="J57" s="5"/>
      <c r="K57" s="6">
        <v>60</v>
      </c>
      <c r="L57" s="6">
        <v>41</v>
      </c>
      <c r="M57" s="6">
        <f>(K57-L57)*0.7</f>
        <v>13.299999999999999</v>
      </c>
    </row>
    <row r="58" spans="1:15">
      <c r="A58" s="22" t="s">
        <v>93</v>
      </c>
      <c r="B58" s="35">
        <v>44043</v>
      </c>
      <c r="C58" s="35"/>
      <c r="D58" s="35">
        <v>44043</v>
      </c>
      <c r="E58" s="5" t="s">
        <v>160</v>
      </c>
      <c r="F58" s="49">
        <v>15</v>
      </c>
      <c r="G58" s="5">
        <v>27.02</v>
      </c>
      <c r="H58" s="5">
        <v>0</v>
      </c>
      <c r="I58" s="5"/>
      <c r="J58" s="5"/>
      <c r="K58" s="6">
        <v>160</v>
      </c>
      <c r="L58" s="6">
        <f>45+22</f>
        <v>67</v>
      </c>
      <c r="M58" s="6">
        <f>15+78*0.7</f>
        <v>69.599999999999994</v>
      </c>
      <c r="O58" s="41"/>
    </row>
    <row r="59" spans="1:15">
      <c r="A59" s="22" t="s">
        <v>98</v>
      </c>
      <c r="B59" s="35">
        <v>44048</v>
      </c>
      <c r="C59" s="35"/>
      <c r="D59" s="35">
        <v>44081</v>
      </c>
      <c r="E59" s="5" t="s">
        <v>160</v>
      </c>
      <c r="F59" s="49">
        <v>17.5</v>
      </c>
      <c r="G59" s="5">
        <v>27.88</v>
      </c>
      <c r="H59" s="5">
        <f>58/30*32</f>
        <v>61.866666666666667</v>
      </c>
      <c r="I59" s="5">
        <v>125</v>
      </c>
      <c r="J59" s="5"/>
      <c r="K59" s="6">
        <v>140</v>
      </c>
      <c r="L59" s="6">
        <f>25+33</f>
        <v>58</v>
      </c>
      <c r="M59" s="6">
        <f>17.5+64.5*0.7</f>
        <v>62.65</v>
      </c>
      <c r="O59" s="41"/>
    </row>
    <row r="60" spans="1:15">
      <c r="A60" s="22" t="s">
        <v>91</v>
      </c>
      <c r="B60" s="35">
        <v>44011</v>
      </c>
      <c r="C60" s="35"/>
      <c r="D60" s="35">
        <v>44084</v>
      </c>
      <c r="E60" s="5"/>
      <c r="F60" s="49"/>
      <c r="G60" s="5">
        <v>11.29</v>
      </c>
      <c r="H60" s="5">
        <f>25/30*71</f>
        <v>59.166666666666671</v>
      </c>
      <c r="I60" s="5"/>
      <c r="J60" s="5"/>
      <c r="K60" s="6">
        <v>40</v>
      </c>
      <c r="L60" s="6">
        <v>25</v>
      </c>
      <c r="M60" s="6">
        <f>(K60-L60)*0.7</f>
        <v>10.5</v>
      </c>
    </row>
    <row r="61" spans="1:15">
      <c r="A61" s="2" t="s">
        <v>99</v>
      </c>
      <c r="B61" s="35">
        <v>44084</v>
      </c>
      <c r="C61" s="35"/>
      <c r="D61" s="35">
        <v>44105</v>
      </c>
      <c r="E61" s="5" t="s">
        <v>160</v>
      </c>
      <c r="F61" s="49">
        <v>5</v>
      </c>
      <c r="G61" s="5">
        <v>12.24</v>
      </c>
      <c r="H61" s="5">
        <f>25/30*20</f>
        <v>16.666666666666668</v>
      </c>
      <c r="I61" s="5"/>
      <c r="J61" s="5"/>
      <c r="K61" s="43">
        <v>40</v>
      </c>
      <c r="L61" s="6">
        <v>22</v>
      </c>
      <c r="M61" s="6">
        <f>5+13*0.7</f>
        <v>14.1</v>
      </c>
      <c r="O61" s="41"/>
    </row>
    <row r="62" spans="1:15">
      <c r="A62" s="2" t="s">
        <v>102</v>
      </c>
      <c r="B62" s="4" t="s">
        <v>103</v>
      </c>
      <c r="C62" s="4"/>
      <c r="D62" s="4">
        <v>44110</v>
      </c>
      <c r="E62" s="5" t="s">
        <v>160</v>
      </c>
      <c r="F62" s="49">
        <v>10</v>
      </c>
      <c r="G62" s="5">
        <v>36.65</v>
      </c>
      <c r="H62" s="5">
        <f>115/30*26</f>
        <v>99.666666666666671</v>
      </c>
      <c r="I62" s="5"/>
      <c r="J62" s="5"/>
      <c r="K62" s="6">
        <v>180</v>
      </c>
      <c r="L62" s="6">
        <v>115</v>
      </c>
      <c r="M62" s="6">
        <f>10+55*0.7</f>
        <v>48.5</v>
      </c>
      <c r="O62" s="41"/>
    </row>
    <row r="63" spans="1:15">
      <c r="A63" s="2" t="s">
        <v>94</v>
      </c>
      <c r="B63" s="35">
        <v>44124</v>
      </c>
      <c r="C63" s="35"/>
      <c r="D63" s="35">
        <v>44124</v>
      </c>
      <c r="E63" s="5"/>
      <c r="F63" s="49"/>
      <c r="G63" s="5">
        <v>7.25</v>
      </c>
      <c r="H63" s="5">
        <v>0</v>
      </c>
      <c r="I63" s="5"/>
      <c r="J63" s="5"/>
      <c r="K63" s="6">
        <v>25</v>
      </c>
      <c r="L63" s="6">
        <v>11</v>
      </c>
      <c r="M63" s="6">
        <f>(K63-L63)*0.7</f>
        <v>9.7999999999999989</v>
      </c>
    </row>
    <row r="64" spans="1:15">
      <c r="A64" s="2" t="s">
        <v>100</v>
      </c>
      <c r="B64" s="4">
        <v>44018</v>
      </c>
      <c r="C64" s="4"/>
      <c r="D64" s="4">
        <v>44124</v>
      </c>
      <c r="E64" s="40"/>
      <c r="F64" s="2"/>
      <c r="G64" s="5">
        <v>9.5</v>
      </c>
      <c r="H64" s="5">
        <f>25/30*104</f>
        <v>86.666666666666671</v>
      </c>
      <c r="I64" s="5"/>
      <c r="J64" s="5"/>
      <c r="K64" s="6">
        <v>70</v>
      </c>
      <c r="L64" s="6">
        <v>25</v>
      </c>
      <c r="M64" s="6">
        <f>(K64-L64)*0.7</f>
        <v>31.499999999999996</v>
      </c>
    </row>
    <row r="65" spans="1:14">
      <c r="A65" s="2" t="s">
        <v>101</v>
      </c>
      <c r="B65" s="4">
        <v>44070</v>
      </c>
      <c r="C65" s="4"/>
      <c r="D65" s="4">
        <v>44131</v>
      </c>
      <c r="E65" s="40"/>
      <c r="F65" s="2"/>
      <c r="G65" s="5">
        <v>13.93</v>
      </c>
      <c r="H65" s="5">
        <f>71/30*60</f>
        <v>142</v>
      </c>
      <c r="I65" s="5"/>
      <c r="J65" s="5"/>
      <c r="K65" s="6">
        <v>120</v>
      </c>
      <c r="L65" s="6">
        <f>60+11</f>
        <v>71</v>
      </c>
      <c r="M65" s="6">
        <f>(K65-L65)*0.7</f>
        <v>34.299999999999997</v>
      </c>
    </row>
    <row r="66" spans="1:14">
      <c r="A66" s="22" t="s">
        <v>104</v>
      </c>
      <c r="B66" s="4">
        <v>44159</v>
      </c>
      <c r="C66" s="4"/>
      <c r="D66" s="4">
        <v>44187</v>
      </c>
      <c r="E66" s="40"/>
      <c r="F66" s="2"/>
      <c r="G66" s="5">
        <v>13.93</v>
      </c>
      <c r="H66" s="5">
        <f>36/30*28</f>
        <v>33.6</v>
      </c>
      <c r="I66" s="5"/>
      <c r="J66" s="5"/>
      <c r="K66" s="6">
        <v>110</v>
      </c>
      <c r="L66" s="6">
        <f>25+11</f>
        <v>36</v>
      </c>
      <c r="M66" s="6">
        <f>(K66-L66)*0.7</f>
        <v>51.8</v>
      </c>
    </row>
    <row r="67" spans="1:14">
      <c r="A67" s="39" t="s">
        <v>120</v>
      </c>
      <c r="B67" s="15">
        <v>44169</v>
      </c>
      <c r="C67" s="15"/>
      <c r="D67" s="15">
        <v>44208</v>
      </c>
      <c r="E67" s="5" t="s">
        <v>160</v>
      </c>
      <c r="F67" s="34">
        <v>10</v>
      </c>
      <c r="G67" s="37"/>
      <c r="H67" s="5">
        <f>41/30*38</f>
        <v>51.933333333333337</v>
      </c>
      <c r="I67" s="5"/>
      <c r="J67" s="5"/>
      <c r="K67" s="17">
        <v>70</v>
      </c>
      <c r="L67" s="26">
        <v>45</v>
      </c>
      <c r="M67" s="37">
        <f>10+(60-45)*0.7</f>
        <v>20.5</v>
      </c>
      <c r="N67" s="1" t="s">
        <v>145</v>
      </c>
    </row>
    <row r="68" spans="1:14">
      <c r="A68" s="22" t="s">
        <v>108</v>
      </c>
      <c r="B68" s="4">
        <v>44185</v>
      </c>
      <c r="C68" s="4"/>
      <c r="D68" s="4">
        <v>44242</v>
      </c>
      <c r="E68" s="5" t="s">
        <v>160</v>
      </c>
      <c r="F68" s="49">
        <v>20</v>
      </c>
      <c r="G68" s="5">
        <v>26.48</v>
      </c>
      <c r="H68" s="5">
        <f>50/30*55</f>
        <v>91.666666666666671</v>
      </c>
      <c r="I68" s="5">
        <v>160</v>
      </c>
      <c r="J68" s="5"/>
      <c r="K68" s="6">
        <v>190</v>
      </c>
      <c r="L68" s="6">
        <v>61</v>
      </c>
      <c r="M68" s="5">
        <f>(20+(170-61)*0.7)</f>
        <v>96.3</v>
      </c>
      <c r="N68" s="1" t="s">
        <v>145</v>
      </c>
    </row>
    <row r="69" spans="1:14">
      <c r="A69" s="22" t="s">
        <v>109</v>
      </c>
      <c r="B69" s="4">
        <v>44209</v>
      </c>
      <c r="C69" s="4"/>
      <c r="D69" s="4">
        <v>44250</v>
      </c>
      <c r="E69" s="5" t="s">
        <v>160</v>
      </c>
      <c r="F69" s="49">
        <v>22.5</v>
      </c>
      <c r="G69" s="5">
        <v>22.83</v>
      </c>
      <c r="H69" s="5">
        <f>100/30*40</f>
        <v>133.33333333333334</v>
      </c>
      <c r="I69" s="5">
        <v>125</v>
      </c>
      <c r="J69" s="5"/>
      <c r="K69" s="6">
        <v>210</v>
      </c>
      <c r="L69" s="6">
        <v>100</v>
      </c>
      <c r="M69" s="6">
        <f>(22.5+87.5*0.7)</f>
        <v>83.75</v>
      </c>
    </row>
    <row r="70" spans="1:14">
      <c r="A70" s="2" t="s">
        <v>113</v>
      </c>
      <c r="B70" s="4">
        <v>44245</v>
      </c>
      <c r="C70" s="4"/>
      <c r="D70" s="4">
        <v>44271</v>
      </c>
      <c r="E70" s="5" t="s">
        <v>160</v>
      </c>
      <c r="F70" s="49">
        <v>15</v>
      </c>
      <c r="G70" s="5">
        <v>26.76</v>
      </c>
      <c r="H70" s="5">
        <f>67/30*28</f>
        <v>62.533333333333331</v>
      </c>
      <c r="I70" s="5"/>
      <c r="J70" s="5"/>
      <c r="K70" s="6">
        <v>140</v>
      </c>
      <c r="L70" s="6">
        <v>67</v>
      </c>
      <c r="M70" s="6">
        <f>(15+0.7*58)</f>
        <v>55.599999999999994</v>
      </c>
    </row>
    <row r="71" spans="1:14">
      <c r="A71" s="2" t="s">
        <v>114</v>
      </c>
      <c r="B71" s="4">
        <v>44222</v>
      </c>
      <c r="C71" s="4"/>
      <c r="D71" s="4">
        <v>44279</v>
      </c>
      <c r="E71" s="5" t="s">
        <v>160</v>
      </c>
      <c r="F71" s="49">
        <v>12.5</v>
      </c>
      <c r="G71" s="5">
        <v>13.4</v>
      </c>
      <c r="H71" s="5">
        <f>56/30*58</f>
        <v>108.26666666666667</v>
      </c>
      <c r="I71" s="5">
        <v>100</v>
      </c>
      <c r="J71" s="5"/>
      <c r="K71" s="6">
        <v>140</v>
      </c>
      <c r="L71" s="6">
        <v>56</v>
      </c>
      <c r="M71" s="5">
        <f>(12.5+71.5*0.7)</f>
        <v>62.55</v>
      </c>
      <c r="N71" s="1" t="s">
        <v>145</v>
      </c>
    </row>
    <row r="72" spans="1:14">
      <c r="A72" s="2" t="s">
        <v>112</v>
      </c>
      <c r="B72" s="4">
        <v>44270</v>
      </c>
      <c r="C72" s="4"/>
      <c r="D72" s="4">
        <v>44286</v>
      </c>
      <c r="E72" s="5" t="s">
        <v>160</v>
      </c>
      <c r="F72" s="49">
        <v>17.5</v>
      </c>
      <c r="G72" s="5">
        <v>31.96</v>
      </c>
      <c r="H72" s="5">
        <f>55/30*16</f>
        <v>29.333333333333332</v>
      </c>
      <c r="I72" s="5">
        <v>75</v>
      </c>
      <c r="J72" s="5"/>
      <c r="K72" s="6">
        <v>100</v>
      </c>
      <c r="L72" s="6">
        <v>55</v>
      </c>
      <c r="M72" s="6">
        <f>(17.5+27.5*0.7)</f>
        <v>36.75</v>
      </c>
    </row>
    <row r="73" spans="1:14">
      <c r="A73" s="2" t="s">
        <v>119</v>
      </c>
      <c r="B73" s="4">
        <v>44281</v>
      </c>
      <c r="C73" s="4"/>
      <c r="D73" s="4">
        <v>44316</v>
      </c>
      <c r="E73" s="40"/>
      <c r="F73" s="2"/>
      <c r="G73" s="5">
        <v>14.26</v>
      </c>
      <c r="H73" s="5">
        <f>45/30*34</f>
        <v>51</v>
      </c>
      <c r="I73" s="5"/>
      <c r="J73" s="5"/>
      <c r="K73" s="6">
        <v>110</v>
      </c>
      <c r="L73" s="6">
        <v>45</v>
      </c>
      <c r="M73" s="6">
        <f>(65*0.7)</f>
        <v>45.5</v>
      </c>
    </row>
    <row r="74" spans="1:14">
      <c r="A74" s="22" t="s">
        <v>121</v>
      </c>
      <c r="B74" s="4">
        <v>44316</v>
      </c>
      <c r="C74" s="4"/>
      <c r="D74" s="4">
        <v>44354</v>
      </c>
      <c r="E74" s="40"/>
      <c r="F74" s="2"/>
      <c r="G74" s="5">
        <v>15.15</v>
      </c>
      <c r="H74" s="5">
        <f>36/30*37</f>
        <v>44.4</v>
      </c>
      <c r="I74" s="5"/>
      <c r="J74" s="5"/>
      <c r="K74" s="6">
        <v>110</v>
      </c>
      <c r="L74" s="6">
        <v>36</v>
      </c>
      <c r="M74" s="5">
        <f>(K74-L74)*0.7</f>
        <v>51.8</v>
      </c>
      <c r="N74" s="1" t="s">
        <v>145</v>
      </c>
    </row>
    <row r="75" spans="1:14">
      <c r="A75" s="22" t="s">
        <v>126</v>
      </c>
      <c r="B75" s="4">
        <v>44336</v>
      </c>
      <c r="C75" s="4"/>
      <c r="D75" s="4">
        <v>44370</v>
      </c>
      <c r="E75" s="5" t="s">
        <v>161</v>
      </c>
      <c r="F75" s="49">
        <v>17.5</v>
      </c>
      <c r="G75" s="5">
        <v>35.78</v>
      </c>
      <c r="H75" s="5">
        <f>58/30*33</f>
        <v>63.8</v>
      </c>
      <c r="I75" s="5">
        <v>50</v>
      </c>
      <c r="J75" s="5"/>
      <c r="K75" s="6">
        <v>150</v>
      </c>
      <c r="L75" s="6">
        <v>58</v>
      </c>
      <c r="M75" s="6">
        <f>(17.5+74.5*0.7)</f>
        <v>69.650000000000006</v>
      </c>
    </row>
    <row r="76" spans="1:14">
      <c r="A76" s="44" t="s">
        <v>125</v>
      </c>
      <c r="B76" s="4">
        <v>44342</v>
      </c>
      <c r="C76" s="4"/>
      <c r="D76" s="4">
        <v>44386</v>
      </c>
      <c r="E76" s="5" t="s">
        <v>160</v>
      </c>
      <c r="F76" s="49">
        <v>12.5</v>
      </c>
      <c r="G76" s="5">
        <v>15.46</v>
      </c>
      <c r="H76" s="5">
        <f>36/30*43</f>
        <v>51.6</v>
      </c>
      <c r="I76" s="5">
        <f>50+45</f>
        <v>95</v>
      </c>
      <c r="J76" s="5"/>
      <c r="K76" s="6">
        <v>110</v>
      </c>
      <c r="L76" s="6">
        <v>36</v>
      </c>
      <c r="M76" s="6">
        <f>(12.5+(97.5-36)*0.7)</f>
        <v>55.55</v>
      </c>
    </row>
    <row r="77" spans="1:14">
      <c r="A77" s="44" t="s">
        <v>129</v>
      </c>
      <c r="B77" s="4">
        <v>44348</v>
      </c>
      <c r="C77" s="4"/>
      <c r="D77" s="4">
        <v>44389</v>
      </c>
      <c r="E77" s="5" t="s">
        <v>160</v>
      </c>
      <c r="F77" s="49">
        <v>12.5</v>
      </c>
      <c r="G77" s="5">
        <v>26.22</v>
      </c>
      <c r="H77" s="5">
        <f>71/30*42</f>
        <v>99.4</v>
      </c>
      <c r="I77" s="5">
        <f>50+45</f>
        <v>95</v>
      </c>
      <c r="J77" s="5"/>
      <c r="K77" s="6">
        <v>140</v>
      </c>
      <c r="L77" s="6">
        <v>71</v>
      </c>
      <c r="M77" s="6">
        <f>(12.5+(127.5-71)*0.7)</f>
        <v>52.05</v>
      </c>
    </row>
    <row r="78" spans="1:14">
      <c r="A78" s="44" t="s">
        <v>124</v>
      </c>
      <c r="B78" s="4">
        <v>44348</v>
      </c>
      <c r="C78" s="4"/>
      <c r="D78" s="4">
        <v>44389</v>
      </c>
      <c r="E78" s="40"/>
      <c r="F78" s="2"/>
      <c r="G78" s="5">
        <v>11.62</v>
      </c>
      <c r="H78" s="5">
        <f>26/30*42</f>
        <v>36.4</v>
      </c>
      <c r="I78" s="5">
        <v>65</v>
      </c>
      <c r="J78" s="5"/>
      <c r="K78" s="6">
        <v>70</v>
      </c>
      <c r="L78" s="6">
        <v>26</v>
      </c>
      <c r="M78" s="6">
        <f>(70-26)*0.7</f>
        <v>30.799999999999997</v>
      </c>
    </row>
    <row r="79" spans="1:14">
      <c r="A79" s="44" t="s">
        <v>132</v>
      </c>
      <c r="B79" s="4">
        <v>44407</v>
      </c>
      <c r="C79" s="4"/>
      <c r="D79" s="4">
        <v>44461</v>
      </c>
      <c r="E79" s="40"/>
      <c r="F79" s="2"/>
      <c r="G79" s="5">
        <v>9.8800000000000008</v>
      </c>
      <c r="H79" s="5">
        <f>25/30*52</f>
        <v>43.333333333333336</v>
      </c>
      <c r="I79" s="5"/>
      <c r="J79" s="5"/>
      <c r="K79" s="6">
        <v>70</v>
      </c>
      <c r="L79" s="6">
        <v>25</v>
      </c>
      <c r="M79" s="6">
        <f>45*0.7</f>
        <v>31.499999999999996</v>
      </c>
    </row>
    <row r="80" spans="1:14">
      <c r="A80" s="44" t="s">
        <v>133</v>
      </c>
      <c r="B80" s="4">
        <v>44432</v>
      </c>
      <c r="C80" s="4"/>
      <c r="D80" s="4">
        <v>44467</v>
      </c>
      <c r="E80" s="40"/>
      <c r="F80" s="2"/>
      <c r="G80" s="5">
        <v>9.8800000000000008</v>
      </c>
      <c r="H80" s="5">
        <f>25/30*34</f>
        <v>28.333333333333336</v>
      </c>
      <c r="I80" s="5"/>
      <c r="J80" s="5"/>
      <c r="K80" s="6">
        <v>70</v>
      </c>
      <c r="L80" s="6">
        <v>25</v>
      </c>
      <c r="M80" s="6">
        <f>45*0.7</f>
        <v>31.499999999999996</v>
      </c>
    </row>
    <row r="81" spans="1:13">
      <c r="A81" s="44" t="s">
        <v>135</v>
      </c>
      <c r="B81" s="35">
        <v>44460</v>
      </c>
      <c r="C81" s="35"/>
      <c r="D81" s="35">
        <v>44475</v>
      </c>
      <c r="E81" s="40"/>
      <c r="F81" s="2"/>
      <c r="G81" s="5">
        <v>19.760000000000002</v>
      </c>
      <c r="H81" s="5">
        <f>43/30*15</f>
        <v>21.5</v>
      </c>
      <c r="I81" s="5">
        <v>65</v>
      </c>
      <c r="J81" s="5"/>
      <c r="K81" s="6">
        <v>90</v>
      </c>
      <c r="L81" s="6">
        <v>43</v>
      </c>
      <c r="M81" s="6">
        <f>(K81-L81)*0.7</f>
        <v>32.9</v>
      </c>
    </row>
    <row r="82" spans="1:13">
      <c r="A82" s="44" t="s">
        <v>141</v>
      </c>
      <c r="B82" s="35">
        <v>44459</v>
      </c>
      <c r="C82" s="35"/>
      <c r="D82" s="35">
        <v>44481</v>
      </c>
      <c r="E82" s="10" t="s">
        <v>161</v>
      </c>
      <c r="F82" s="12">
        <v>10</v>
      </c>
      <c r="G82" s="5">
        <v>15.15</v>
      </c>
      <c r="H82" s="5">
        <f>46/30*22</f>
        <v>33.733333333333334</v>
      </c>
      <c r="I82" s="5">
        <v>80</v>
      </c>
      <c r="J82" s="5"/>
      <c r="K82" s="6">
        <v>120</v>
      </c>
      <c r="L82" s="6">
        <v>46</v>
      </c>
      <c r="M82" s="6">
        <f>10+(120-56)*0.7</f>
        <v>54.8</v>
      </c>
    </row>
    <row r="83" spans="1:13">
      <c r="A83" s="44" t="s">
        <v>140</v>
      </c>
      <c r="B83" s="35">
        <v>44449</v>
      </c>
      <c r="C83" s="35"/>
      <c r="D83" s="35">
        <v>44482</v>
      </c>
      <c r="E83" s="5" t="s">
        <v>160</v>
      </c>
      <c r="F83" s="49">
        <v>10</v>
      </c>
      <c r="G83" s="5">
        <v>13.4</v>
      </c>
      <c r="H83" s="5">
        <f>60/30*33</f>
        <v>66</v>
      </c>
      <c r="I83" s="5">
        <v>80</v>
      </c>
      <c r="J83" s="5"/>
      <c r="K83" s="6">
        <v>120</v>
      </c>
      <c r="L83" s="6">
        <v>61</v>
      </c>
      <c r="M83" s="6">
        <f>(10+49*0.7)</f>
        <v>44.3</v>
      </c>
    </row>
    <row r="84" spans="1:13">
      <c r="A84" s="44" t="s">
        <v>137</v>
      </c>
      <c r="B84" s="35">
        <v>44474</v>
      </c>
      <c r="C84" s="35"/>
      <c r="D84" s="35">
        <v>44487</v>
      </c>
      <c r="E84" s="10" t="s">
        <v>161</v>
      </c>
      <c r="F84" s="12">
        <v>12.5</v>
      </c>
      <c r="G84" s="5">
        <v>15.15</v>
      </c>
      <c r="H84" s="5">
        <f>71/30*13</f>
        <v>30.766666666666666</v>
      </c>
      <c r="I84" s="5">
        <v>95</v>
      </c>
      <c r="J84" s="5"/>
      <c r="K84" s="6">
        <v>140</v>
      </c>
      <c r="L84" s="6">
        <v>71</v>
      </c>
      <c r="M84" s="6">
        <f>12.5+(56.5)*0.7</f>
        <v>52.05</v>
      </c>
    </row>
    <row r="85" spans="1:13">
      <c r="A85" s="44" t="s">
        <v>143</v>
      </c>
      <c r="B85" s="35">
        <v>43717</v>
      </c>
      <c r="C85" s="35"/>
      <c r="D85" s="35">
        <v>44505</v>
      </c>
      <c r="E85" s="40"/>
      <c r="F85" s="49"/>
      <c r="G85" s="5">
        <v>13.4</v>
      </c>
      <c r="H85" s="5">
        <f>36*25+36/30*26</f>
        <v>931.2</v>
      </c>
      <c r="I85" s="5"/>
      <c r="J85" s="5"/>
      <c r="K85" s="6">
        <v>100</v>
      </c>
      <c r="L85" s="6">
        <v>36</v>
      </c>
      <c r="M85" s="6">
        <f>(100-36)*0.7</f>
        <v>44.8</v>
      </c>
    </row>
    <row r="86" spans="1:13">
      <c r="A86" s="44" t="s">
        <v>139</v>
      </c>
      <c r="B86" s="35">
        <v>44492</v>
      </c>
      <c r="C86" s="35"/>
      <c r="D86" s="35">
        <v>44539</v>
      </c>
      <c r="E86" s="40"/>
      <c r="F86" s="49"/>
      <c r="G86" s="5">
        <v>16.350000000000001</v>
      </c>
      <c r="H86" s="5">
        <f>71/30*46</f>
        <v>108.86666666666667</v>
      </c>
      <c r="I86" s="5">
        <v>95</v>
      </c>
      <c r="J86" s="5"/>
      <c r="K86" s="6">
        <v>140</v>
      </c>
      <c r="L86" s="6">
        <v>71</v>
      </c>
      <c r="M86" s="6">
        <f>(140-71)*0.7/30*21</f>
        <v>33.809999999999995</v>
      </c>
    </row>
    <row r="87" spans="1:13">
      <c r="A87" s="44" t="s">
        <v>144</v>
      </c>
      <c r="B87" s="35">
        <v>44526</v>
      </c>
      <c r="C87" s="35"/>
      <c r="D87" s="35">
        <v>44550</v>
      </c>
      <c r="E87" s="5" t="s">
        <v>160</v>
      </c>
      <c r="F87" s="49">
        <v>12.5</v>
      </c>
      <c r="G87" s="5">
        <v>13.4</v>
      </c>
      <c r="H87" s="5">
        <f>83/30*24</f>
        <v>66.400000000000006</v>
      </c>
      <c r="I87" s="5"/>
      <c r="J87" s="5"/>
      <c r="K87" s="6">
        <v>160</v>
      </c>
      <c r="L87" s="6">
        <v>94</v>
      </c>
      <c r="M87" s="6">
        <f>15+(160-15-94)*0.7/30*10</f>
        <v>26.9</v>
      </c>
    </row>
    <row r="88" spans="1:13">
      <c r="A88" s="44" t="s">
        <v>149</v>
      </c>
      <c r="B88" s="35">
        <v>44880</v>
      </c>
      <c r="C88" s="35"/>
      <c r="D88" s="35">
        <v>44575</v>
      </c>
      <c r="E88" s="40"/>
      <c r="F88" s="49"/>
      <c r="G88" s="5">
        <v>13.4</v>
      </c>
      <c r="H88" s="5"/>
      <c r="I88" s="5">
        <v>50</v>
      </c>
      <c r="J88" s="5"/>
      <c r="K88" s="6">
        <v>140</v>
      </c>
      <c r="L88" s="6">
        <f>71</f>
        <v>71</v>
      </c>
      <c r="M88" s="6">
        <f>(140-71)*0.7</f>
        <v>48.3</v>
      </c>
    </row>
    <row r="89" spans="1:13">
      <c r="A89" s="44" t="s">
        <v>146</v>
      </c>
      <c r="B89" s="4">
        <v>44586</v>
      </c>
      <c r="C89" s="4"/>
      <c r="D89" s="4">
        <v>44615</v>
      </c>
      <c r="E89" s="10" t="s">
        <v>161</v>
      </c>
      <c r="F89" s="12">
        <v>12.5</v>
      </c>
      <c r="G89" s="5">
        <v>15.46</v>
      </c>
      <c r="H89" s="5">
        <f>27/30*28</f>
        <v>25.2</v>
      </c>
      <c r="I89" s="5">
        <v>110</v>
      </c>
      <c r="J89" s="5"/>
      <c r="K89" s="6">
        <v>124</v>
      </c>
      <c r="L89" s="6">
        <v>51</v>
      </c>
      <c r="M89" s="6">
        <f>12.5+(124-63.5)*0.7</f>
        <v>54.849999999999994</v>
      </c>
    </row>
    <row r="90" spans="1:13">
      <c r="A90" s="44" t="s">
        <v>148</v>
      </c>
      <c r="B90" s="4">
        <v>44579</v>
      </c>
      <c r="C90" s="4"/>
      <c r="D90" s="4">
        <v>44594</v>
      </c>
      <c r="E90" s="40"/>
      <c r="F90" s="49"/>
      <c r="G90" s="5">
        <v>13.4</v>
      </c>
      <c r="H90" s="5">
        <f>22/30*14</f>
        <v>10.266666666666666</v>
      </c>
      <c r="I90" s="5">
        <v>30</v>
      </c>
      <c r="J90" s="5"/>
      <c r="K90" s="6">
        <v>50</v>
      </c>
      <c r="L90" s="6">
        <v>22</v>
      </c>
      <c r="M90" s="6">
        <f>(50-22)*0.7</f>
        <v>19.599999999999998</v>
      </c>
    </row>
    <row r="91" spans="1:13">
      <c r="A91" s="44" t="s">
        <v>150</v>
      </c>
      <c r="B91" s="4">
        <v>44899</v>
      </c>
      <c r="C91" s="4"/>
      <c r="D91" s="4">
        <v>44607</v>
      </c>
      <c r="E91" s="12" t="s">
        <v>160</v>
      </c>
      <c r="F91" s="12">
        <v>12.5</v>
      </c>
      <c r="G91" s="5">
        <v>13.4</v>
      </c>
      <c r="H91" s="5">
        <f>71/30*61</f>
        <v>144.36666666666667</v>
      </c>
      <c r="I91" s="5">
        <v>80</v>
      </c>
      <c r="J91" s="5"/>
      <c r="K91" s="6">
        <v>120</v>
      </c>
      <c r="L91" s="6">
        <v>60</v>
      </c>
      <c r="M91" s="6">
        <f>12.5+(120-72.5)*0.7</f>
        <v>45.75</v>
      </c>
    </row>
    <row r="92" spans="1:13">
      <c r="A92" s="44" t="s">
        <v>151</v>
      </c>
      <c r="B92" s="4">
        <v>44926</v>
      </c>
      <c r="C92" s="4"/>
      <c r="D92" s="4">
        <v>44649</v>
      </c>
      <c r="E92" s="40"/>
      <c r="F92" s="40"/>
      <c r="G92" s="5">
        <v>9.0299999999999994</v>
      </c>
      <c r="H92" s="5">
        <f>25*2+25/30*29</f>
        <v>74.166666666666671</v>
      </c>
      <c r="I92" s="5">
        <v>80</v>
      </c>
      <c r="J92" s="5"/>
      <c r="K92" s="6">
        <v>67.5</v>
      </c>
      <c r="L92" s="6">
        <v>25</v>
      </c>
      <c r="M92" s="6">
        <f>(67.5-25)*0.7</f>
        <v>29.749999999999996</v>
      </c>
    </row>
    <row r="93" spans="1:13">
      <c r="A93" s="44" t="s">
        <v>152</v>
      </c>
      <c r="B93" s="4">
        <v>44852</v>
      </c>
      <c r="C93" s="4"/>
      <c r="D93" s="4">
        <v>44649</v>
      </c>
      <c r="E93" s="40"/>
      <c r="F93" s="40"/>
      <c r="G93" s="5">
        <v>9.0299999999999994</v>
      </c>
      <c r="H93" s="5">
        <f>45*4+45/30*13</f>
        <v>199.5</v>
      </c>
      <c r="I93" s="5">
        <v>80</v>
      </c>
      <c r="J93" s="5"/>
      <c r="K93" s="6">
        <v>67.5</v>
      </c>
      <c r="L93" s="6">
        <v>45</v>
      </c>
      <c r="M93" s="6">
        <f>(K93-L93)*0.7</f>
        <v>15.749999999999998</v>
      </c>
    </row>
    <row r="94" spans="1:13">
      <c r="A94" s="44" t="s">
        <v>153</v>
      </c>
      <c r="B94" s="4">
        <v>44623</v>
      </c>
      <c r="C94" s="4"/>
      <c r="D94" s="4">
        <v>44623</v>
      </c>
      <c r="E94" s="40"/>
      <c r="F94" s="40"/>
      <c r="G94" s="5">
        <v>11.03</v>
      </c>
      <c r="H94" s="5">
        <v>0</v>
      </c>
      <c r="I94" s="5">
        <v>15</v>
      </c>
      <c r="J94" s="5"/>
      <c r="K94" s="6">
        <v>30</v>
      </c>
      <c r="L94" s="6">
        <v>12</v>
      </c>
      <c r="M94" s="6">
        <f>(K94-L94)*0.7</f>
        <v>12.6</v>
      </c>
    </row>
    <row r="95" spans="1:13">
      <c r="A95" s="44" t="s">
        <v>154</v>
      </c>
      <c r="B95" s="4">
        <v>44881</v>
      </c>
      <c r="C95" s="4"/>
      <c r="D95" s="4">
        <v>44628</v>
      </c>
      <c r="E95" s="40"/>
      <c r="F95" s="40"/>
      <c r="G95" s="5">
        <v>9.0299999999999994</v>
      </c>
      <c r="H95" s="5">
        <f>65*3+65/30*22</f>
        <v>242.66666666666666</v>
      </c>
      <c r="I95" s="5">
        <v>95</v>
      </c>
      <c r="J95" s="5"/>
      <c r="K95" s="6">
        <v>112</v>
      </c>
      <c r="L95" s="6">
        <v>65</v>
      </c>
      <c r="M95" s="6">
        <f>(K95-L95)*0.7</f>
        <v>32.9</v>
      </c>
    </row>
    <row r="96" spans="1:13">
      <c r="A96" s="44" t="s">
        <v>155</v>
      </c>
      <c r="B96" s="4">
        <v>44490</v>
      </c>
      <c r="C96" s="4"/>
      <c r="D96" s="4">
        <v>44648</v>
      </c>
      <c r="E96" s="40"/>
      <c r="F96" s="40"/>
      <c r="G96" s="5">
        <v>13.4</v>
      </c>
      <c r="H96" s="5">
        <f>45*5+45/30*7</f>
        <v>235.5</v>
      </c>
      <c r="I96" s="5">
        <v>80</v>
      </c>
      <c r="J96" s="5"/>
      <c r="K96" s="6">
        <v>67.5</v>
      </c>
      <c r="L96" s="6">
        <v>45</v>
      </c>
      <c r="M96" s="6">
        <f>(K96-L96)*0.7</f>
        <v>15.749999999999998</v>
      </c>
    </row>
    <row r="97" spans="1:13">
      <c r="A97" s="52" t="s">
        <v>156</v>
      </c>
      <c r="B97" s="24">
        <v>44489</v>
      </c>
      <c r="C97" s="24"/>
      <c r="D97" s="24">
        <v>44651</v>
      </c>
      <c r="E97" s="48"/>
      <c r="F97" s="48"/>
      <c r="G97" s="25">
        <v>15.46</v>
      </c>
      <c r="H97" s="25">
        <f>50*5+50/10</f>
        <v>255</v>
      </c>
      <c r="I97" s="25">
        <v>145</v>
      </c>
      <c r="J97" s="25"/>
      <c r="K97" s="27">
        <v>125</v>
      </c>
      <c r="L97" s="27">
        <v>50</v>
      </c>
      <c r="M97" s="27">
        <f>(K97-L97)*0.7</f>
        <v>52.5</v>
      </c>
    </row>
    <row r="98" spans="1:13">
      <c r="A98" s="52" t="s">
        <v>157</v>
      </c>
      <c r="B98" s="24">
        <v>44627</v>
      </c>
      <c r="C98" s="24"/>
      <c r="D98" s="24">
        <v>44627</v>
      </c>
      <c r="E98" s="10" t="s">
        <v>161</v>
      </c>
      <c r="F98" s="12">
        <v>10</v>
      </c>
      <c r="G98" s="25">
        <v>15.46</v>
      </c>
      <c r="H98" s="25">
        <v>0</v>
      </c>
      <c r="I98" s="25">
        <v>0</v>
      </c>
      <c r="J98" s="25"/>
      <c r="K98" s="27">
        <v>100</v>
      </c>
      <c r="L98" s="27">
        <v>44</v>
      </c>
      <c r="M98" s="27">
        <f>10+(46)*0.7</f>
        <v>42.199999999999996</v>
      </c>
    </row>
    <row r="99" spans="1:13">
      <c r="A99" s="52" t="s">
        <v>158</v>
      </c>
      <c r="B99" s="24">
        <v>44627</v>
      </c>
      <c r="C99" s="24"/>
      <c r="D99" s="24">
        <v>44627</v>
      </c>
      <c r="E99" s="38" t="s">
        <v>161</v>
      </c>
      <c r="F99" s="54">
        <v>12.5</v>
      </c>
      <c r="G99" s="25">
        <v>15.46</v>
      </c>
      <c r="H99" s="25">
        <v>0</v>
      </c>
      <c r="I99" s="25">
        <v>0</v>
      </c>
      <c r="J99" s="25"/>
      <c r="K99" s="27">
        <v>125</v>
      </c>
      <c r="L99" s="27">
        <v>55</v>
      </c>
      <c r="M99" s="27">
        <f>12.5+(57.5)*0.7</f>
        <v>52.75</v>
      </c>
    </row>
    <row r="100" spans="1:13">
      <c r="A100" s="44" t="s">
        <v>168</v>
      </c>
      <c r="B100" s="4">
        <v>44636</v>
      </c>
      <c r="C100" s="4"/>
      <c r="D100" s="4">
        <v>44659</v>
      </c>
      <c r="E100" s="40"/>
      <c r="F100" s="5"/>
      <c r="G100" s="5">
        <v>13.72</v>
      </c>
      <c r="H100" s="5">
        <f>55/30*24</f>
        <v>44</v>
      </c>
      <c r="I100" s="5">
        <v>80</v>
      </c>
      <c r="J100" s="5"/>
      <c r="K100" s="6">
        <v>120</v>
      </c>
      <c r="L100" s="6">
        <v>55</v>
      </c>
      <c r="M100" s="6">
        <f>10+(110-L100)*0.7</f>
        <v>48.5</v>
      </c>
    </row>
    <row r="101" spans="1:13">
      <c r="A101" s="44" t="s">
        <v>171</v>
      </c>
      <c r="B101" s="4">
        <v>44648</v>
      </c>
      <c r="C101" s="4"/>
      <c r="D101" s="4">
        <v>44734</v>
      </c>
      <c r="E101" s="40"/>
      <c r="F101" s="5"/>
      <c r="G101" s="5">
        <v>13.72</v>
      </c>
      <c r="H101" s="5">
        <f>56/30*84</f>
        <v>156.80000000000001</v>
      </c>
      <c r="I101" s="5">
        <v>95</v>
      </c>
      <c r="J101" s="5"/>
      <c r="K101" s="6">
        <v>140</v>
      </c>
      <c r="L101" s="6">
        <v>56</v>
      </c>
      <c r="M101" s="6">
        <f>(140-56)*0.7</f>
        <v>58.8</v>
      </c>
    </row>
    <row r="102" spans="1:13">
      <c r="A102" s="44" t="s">
        <v>172</v>
      </c>
      <c r="B102" s="4">
        <v>44705</v>
      </c>
      <c r="C102" s="4"/>
      <c r="D102" s="4">
        <v>44715</v>
      </c>
      <c r="E102" s="40"/>
      <c r="F102" s="5"/>
      <c r="G102" s="5">
        <v>10.039999999999999</v>
      </c>
      <c r="H102" s="5">
        <f>25/30*9</f>
        <v>7.5</v>
      </c>
      <c r="I102" s="5"/>
      <c r="J102" s="5"/>
      <c r="K102" s="6">
        <v>50</v>
      </c>
      <c r="L102" s="6">
        <v>25</v>
      </c>
      <c r="M102" s="6">
        <f>(50-25)*0.7</f>
        <v>17.5</v>
      </c>
    </row>
    <row r="103" spans="1:13">
      <c r="A103" s="44" t="s">
        <v>173</v>
      </c>
      <c r="B103" s="4">
        <v>44704</v>
      </c>
      <c r="C103" s="4"/>
      <c r="D103" s="4">
        <v>44721</v>
      </c>
      <c r="E103" s="10" t="s">
        <v>161</v>
      </c>
      <c r="F103" s="12">
        <v>10</v>
      </c>
      <c r="G103" s="5">
        <v>13.72</v>
      </c>
      <c r="H103" s="5">
        <f>37/30*16</f>
        <v>19.733333333333334</v>
      </c>
      <c r="I103" s="5">
        <f>50+45</f>
        <v>95</v>
      </c>
      <c r="J103" s="5"/>
      <c r="K103" s="6">
        <v>110</v>
      </c>
      <c r="L103" s="6">
        <v>37</v>
      </c>
      <c r="M103" s="6">
        <f>12.5+(97.5-37)*0.7</f>
        <v>54.849999999999994</v>
      </c>
    </row>
    <row r="104" spans="1:13">
      <c r="A104" s="10" t="s">
        <v>174</v>
      </c>
      <c r="B104" s="4">
        <v>44715</v>
      </c>
      <c r="C104" s="4">
        <v>44750</v>
      </c>
      <c r="D104" s="4">
        <v>44820</v>
      </c>
      <c r="E104" s="10" t="s">
        <v>161</v>
      </c>
      <c r="F104" s="12">
        <v>10</v>
      </c>
      <c r="G104" s="5">
        <v>14.6</v>
      </c>
      <c r="H104" s="5">
        <f>56/30*68</f>
        <v>126.93333333333334</v>
      </c>
      <c r="I104" s="5">
        <v>50</v>
      </c>
      <c r="J104" s="5"/>
      <c r="K104" s="6">
        <f>130</f>
        <v>130</v>
      </c>
      <c r="L104" s="6">
        <v>56</v>
      </c>
      <c r="M104" s="12">
        <f>'202210OK'!M102</f>
        <v>58.05</v>
      </c>
    </row>
    <row r="105" spans="1:13">
      <c r="A105" s="28"/>
      <c r="B105" s="36"/>
      <c r="C105" s="36"/>
      <c r="D105" s="36"/>
      <c r="E105" s="28"/>
      <c r="F105" s="28"/>
      <c r="G105" s="30"/>
      <c r="H105" s="28"/>
      <c r="I105" s="30"/>
      <c r="L105" s="8" t="s">
        <v>4</v>
      </c>
      <c r="M105" s="8">
        <f>SUM(M2:M104)</f>
        <v>3884.510000000002</v>
      </c>
    </row>
    <row r="106" spans="1:13">
      <c r="A106" s="28"/>
      <c r="D106" s="15"/>
      <c r="E106" s="1"/>
      <c r="F106" s="1"/>
      <c r="G106" s="1"/>
      <c r="H106" s="1"/>
      <c r="I106" s="1"/>
      <c r="J106" s="1"/>
      <c r="K106" s="1"/>
      <c r="L106" s="29"/>
      <c r="M106" s="29"/>
    </row>
    <row r="108" spans="1:13">
      <c r="G108" s="30"/>
    </row>
    <row r="109" spans="1:13">
      <c r="H109" s="42"/>
      <c r="K109" t="s">
        <v>176</v>
      </c>
    </row>
    <row r="110" spans="1:13">
      <c r="K110" t="s">
        <v>175</v>
      </c>
    </row>
    <row r="111" spans="1:13">
      <c r="K111" t="s">
        <v>177</v>
      </c>
    </row>
  </sheetData>
  <autoFilter ref="A1:O1">
    <sortState ref="A2:N104">
      <sortCondition ref="D1"/>
    </sortState>
  </autoFilter>
  <pageMargins left="0.7" right="0.7" top="0.75" bottom="0.75" header="0.3" footer="0.3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>
  <dimension ref="A1:O111"/>
  <sheetViews>
    <sheetView topLeftCell="A97" workbookViewId="0">
      <selection activeCell="K111" sqref="K111"/>
    </sheetView>
  </sheetViews>
  <sheetFormatPr baseColWidth="10" defaultRowHeight="15"/>
  <cols>
    <col min="1" max="1" width="26.5703125" customWidth="1"/>
    <col min="2" max="2" width="22.85546875" customWidth="1"/>
    <col min="3" max="3" width="11.5703125" customWidth="1"/>
  </cols>
  <sheetData>
    <row r="1" spans="1:14" ht="60">
      <c r="A1" s="2"/>
      <c r="B1" s="3" t="s">
        <v>0</v>
      </c>
      <c r="C1" s="3" t="s">
        <v>3</v>
      </c>
      <c r="D1" s="3" t="s">
        <v>1</v>
      </c>
      <c r="E1" s="3" t="s">
        <v>159</v>
      </c>
      <c r="F1" s="3" t="s">
        <v>162</v>
      </c>
      <c r="G1" s="3" t="s">
        <v>3</v>
      </c>
      <c r="H1" s="3" t="s">
        <v>11</v>
      </c>
      <c r="I1" s="3" t="s">
        <v>36</v>
      </c>
      <c r="J1" s="3" t="s">
        <v>12</v>
      </c>
      <c r="K1" s="3" t="s">
        <v>5</v>
      </c>
      <c r="L1" s="3" t="s">
        <v>7</v>
      </c>
      <c r="M1" s="3" t="s">
        <v>8</v>
      </c>
      <c r="N1" s="14" t="s">
        <v>35</v>
      </c>
    </row>
    <row r="2" spans="1:14">
      <c r="A2" s="2" t="s">
        <v>10</v>
      </c>
      <c r="B2" s="4">
        <v>41852</v>
      </c>
      <c r="C2" s="4"/>
      <c r="D2" s="4">
        <v>41852</v>
      </c>
      <c r="E2" s="5"/>
      <c r="F2" s="49"/>
      <c r="G2" s="5">
        <v>10</v>
      </c>
      <c r="H2" s="5"/>
      <c r="I2" s="5"/>
      <c r="J2" s="5">
        <f>E2+G2+I2</f>
        <v>10</v>
      </c>
      <c r="K2" s="6">
        <v>40</v>
      </c>
      <c r="L2" s="6">
        <v>25</v>
      </c>
      <c r="M2" s="6">
        <f t="shared" ref="M2:M52" si="0">(K2-L2)*0.7</f>
        <v>10.5</v>
      </c>
    </row>
    <row r="3" spans="1:14">
      <c r="A3" s="2" t="s">
        <v>17</v>
      </c>
      <c r="B3" s="4"/>
      <c r="C3" s="4"/>
      <c r="D3" s="4">
        <v>42209</v>
      </c>
      <c r="E3" s="5"/>
      <c r="F3" s="49"/>
      <c r="G3" s="5"/>
      <c r="H3" s="5"/>
      <c r="I3" s="5"/>
      <c r="J3" s="5"/>
      <c r="K3" s="6">
        <v>90</v>
      </c>
      <c r="L3" s="6">
        <v>25</v>
      </c>
      <c r="M3" s="6">
        <f t="shared" si="0"/>
        <v>45.5</v>
      </c>
    </row>
    <row r="4" spans="1:14">
      <c r="A4" s="2" t="s">
        <v>15</v>
      </c>
      <c r="B4" s="4">
        <v>42272</v>
      </c>
      <c r="C4" s="4"/>
      <c r="D4" s="4">
        <v>42275</v>
      </c>
      <c r="E4" s="5">
        <v>50</v>
      </c>
      <c r="F4" s="49"/>
      <c r="G4" s="5"/>
      <c r="H4" s="5">
        <f>25/30*3</f>
        <v>2.5</v>
      </c>
      <c r="I4" s="5"/>
      <c r="J4" s="5">
        <f>E4+G4+I4</f>
        <v>50</v>
      </c>
      <c r="K4" s="6">
        <v>40</v>
      </c>
      <c r="L4" s="6">
        <v>25</v>
      </c>
      <c r="M4" s="6">
        <f t="shared" si="0"/>
        <v>10.5</v>
      </c>
    </row>
    <row r="5" spans="1:14">
      <c r="A5" s="2" t="s">
        <v>18</v>
      </c>
      <c r="B5" s="2"/>
      <c r="C5" s="2"/>
      <c r="D5" s="4">
        <v>42335</v>
      </c>
      <c r="E5" s="5"/>
      <c r="F5" s="49"/>
      <c r="G5" s="5"/>
      <c r="H5" s="5"/>
      <c r="I5" s="5"/>
      <c r="J5" s="5"/>
      <c r="K5" s="6">
        <v>90</v>
      </c>
      <c r="L5" s="6">
        <v>25</v>
      </c>
      <c r="M5" s="6">
        <f t="shared" si="0"/>
        <v>45.5</v>
      </c>
    </row>
    <row r="6" spans="1:14">
      <c r="A6" s="2" t="s">
        <v>16</v>
      </c>
      <c r="B6" s="2"/>
      <c r="C6" s="2"/>
      <c r="D6" s="4">
        <v>42396</v>
      </c>
      <c r="E6" s="5"/>
      <c r="F6" s="49"/>
      <c r="G6" s="5"/>
      <c r="H6" s="5"/>
      <c r="I6" s="5"/>
      <c r="J6" s="5"/>
      <c r="K6" s="6">
        <v>90</v>
      </c>
      <c r="L6" s="6">
        <v>25</v>
      </c>
      <c r="M6" s="6">
        <f t="shared" si="0"/>
        <v>45.5</v>
      </c>
    </row>
    <row r="7" spans="1:14">
      <c r="A7" s="2" t="s">
        <v>22</v>
      </c>
      <c r="B7" s="4">
        <v>42546</v>
      </c>
      <c r="C7" s="4"/>
      <c r="D7" s="4">
        <v>42571</v>
      </c>
      <c r="E7" s="5"/>
      <c r="F7" s="49"/>
      <c r="G7" s="5">
        <f>6.9+8.5</f>
        <v>15.4</v>
      </c>
      <c r="H7" s="5">
        <f>25*25/30</f>
        <v>20.833333333333332</v>
      </c>
      <c r="I7" s="5"/>
      <c r="J7" s="5"/>
      <c r="K7" s="6">
        <v>120</v>
      </c>
      <c r="L7" s="6">
        <v>25</v>
      </c>
      <c r="M7" s="6">
        <f t="shared" si="0"/>
        <v>66.5</v>
      </c>
    </row>
    <row r="8" spans="1:14">
      <c r="A8" s="2" t="s">
        <v>23</v>
      </c>
      <c r="B8" s="4">
        <v>42560</v>
      </c>
      <c r="C8" s="4"/>
      <c r="D8" s="4">
        <v>42571</v>
      </c>
      <c r="E8" s="5"/>
      <c r="F8" s="49"/>
      <c r="G8" s="5">
        <v>8.5</v>
      </c>
      <c r="H8" s="5">
        <f>25*41/30</f>
        <v>34.166666666666664</v>
      </c>
      <c r="I8" s="5"/>
      <c r="J8" s="5"/>
      <c r="K8" s="6">
        <v>107.5</v>
      </c>
      <c r="L8" s="6">
        <v>25</v>
      </c>
      <c r="M8" s="6">
        <f t="shared" si="0"/>
        <v>57.749999999999993</v>
      </c>
    </row>
    <row r="9" spans="1:14">
      <c r="A9" s="2" t="s">
        <v>24</v>
      </c>
      <c r="B9" s="4">
        <v>42530</v>
      </c>
      <c r="C9" s="4"/>
      <c r="D9" s="4">
        <v>42579</v>
      </c>
      <c r="E9" s="5"/>
      <c r="F9" s="49"/>
      <c r="G9" s="5">
        <f>8.5+6.9</f>
        <v>15.4</v>
      </c>
      <c r="H9" s="5">
        <f>25*52/30</f>
        <v>43.333333333333336</v>
      </c>
      <c r="I9" s="5"/>
      <c r="J9" s="5"/>
      <c r="K9" s="6">
        <v>90</v>
      </c>
      <c r="L9" s="6">
        <v>25</v>
      </c>
      <c r="M9" s="6">
        <f t="shared" si="0"/>
        <v>45.5</v>
      </c>
    </row>
    <row r="10" spans="1:14">
      <c r="A10" s="2" t="s">
        <v>26</v>
      </c>
      <c r="B10" s="4">
        <v>42633</v>
      </c>
      <c r="C10" s="4"/>
      <c r="D10" s="4">
        <v>42644</v>
      </c>
      <c r="E10" s="5"/>
      <c r="F10" s="49"/>
      <c r="G10" s="5">
        <v>8.17</v>
      </c>
      <c r="H10" s="5">
        <f>25/30*10</f>
        <v>8.3333333333333339</v>
      </c>
      <c r="I10" s="5"/>
      <c r="J10" s="5"/>
      <c r="K10" s="6">
        <v>70</v>
      </c>
      <c r="L10" s="6">
        <v>25</v>
      </c>
      <c r="M10" s="6">
        <f t="shared" si="0"/>
        <v>31.499999999999996</v>
      </c>
    </row>
    <row r="11" spans="1:14">
      <c r="A11" s="2" t="s">
        <v>27</v>
      </c>
      <c r="B11" s="4">
        <v>42656</v>
      </c>
      <c r="C11" s="4"/>
      <c r="D11" s="4">
        <v>42705</v>
      </c>
      <c r="E11" s="5"/>
      <c r="F11" s="49"/>
      <c r="G11" s="5">
        <v>8.17</v>
      </c>
      <c r="H11" s="5">
        <f>L11/30*47</f>
        <v>39.166666666666671</v>
      </c>
      <c r="I11" s="5"/>
      <c r="J11" s="5"/>
      <c r="K11" s="6">
        <v>40</v>
      </c>
      <c r="L11" s="6">
        <v>25</v>
      </c>
      <c r="M11" s="6">
        <f t="shared" si="0"/>
        <v>10.5</v>
      </c>
    </row>
    <row r="12" spans="1:14">
      <c r="A12" s="2" t="s">
        <v>29</v>
      </c>
      <c r="B12" s="4">
        <v>42683</v>
      </c>
      <c r="C12" s="4"/>
      <c r="D12" s="4">
        <v>42718</v>
      </c>
      <c r="E12" s="5"/>
      <c r="F12" s="49"/>
      <c r="G12" s="5">
        <v>8.9700000000000006</v>
      </c>
      <c r="H12" s="5">
        <f>L12/30*35</f>
        <v>42</v>
      </c>
      <c r="I12" s="5"/>
      <c r="J12" s="5"/>
      <c r="K12" s="6">
        <f>105</f>
        <v>105</v>
      </c>
      <c r="L12" s="6">
        <v>36</v>
      </c>
      <c r="M12" s="6">
        <f t="shared" si="0"/>
        <v>48.3</v>
      </c>
    </row>
    <row r="13" spans="1:14">
      <c r="A13" s="2" t="s">
        <v>28</v>
      </c>
      <c r="B13" s="4">
        <v>42711</v>
      </c>
      <c r="C13" s="4"/>
      <c r="D13" s="4">
        <v>42734</v>
      </c>
      <c r="E13" s="5"/>
      <c r="F13" s="49"/>
      <c r="G13" s="5">
        <v>8.17</v>
      </c>
      <c r="H13" s="5">
        <f>L13/30*23</f>
        <v>19.166666666666668</v>
      </c>
      <c r="I13" s="5"/>
      <c r="J13" s="5"/>
      <c r="K13" s="6">
        <v>40</v>
      </c>
      <c r="L13" s="6">
        <v>25</v>
      </c>
      <c r="M13" s="6">
        <f t="shared" si="0"/>
        <v>10.5</v>
      </c>
    </row>
    <row r="14" spans="1:14">
      <c r="A14" s="2" t="s">
        <v>30</v>
      </c>
      <c r="B14" s="4">
        <v>42732</v>
      </c>
      <c r="C14" s="4"/>
      <c r="D14" s="4">
        <v>42759</v>
      </c>
      <c r="E14" s="5"/>
      <c r="F14" s="49"/>
      <c r="G14" s="5">
        <v>18.8</v>
      </c>
      <c r="H14" s="5">
        <f>L14/30*27</f>
        <v>23.400000000000002</v>
      </c>
      <c r="I14" s="5"/>
      <c r="J14" s="5"/>
      <c r="K14" s="6">
        <v>90</v>
      </c>
      <c r="L14" s="6">
        <v>26</v>
      </c>
      <c r="M14" s="6">
        <f t="shared" si="0"/>
        <v>44.8</v>
      </c>
    </row>
    <row r="15" spans="1:14">
      <c r="A15" s="2" t="s">
        <v>31</v>
      </c>
      <c r="B15" s="4">
        <v>42735</v>
      </c>
      <c r="C15" s="4"/>
      <c r="D15" s="4">
        <v>42782</v>
      </c>
      <c r="E15" s="5">
        <v>50</v>
      </c>
      <c r="F15" s="49"/>
      <c r="G15" s="5">
        <v>20.63</v>
      </c>
      <c r="H15" s="5">
        <f>L15/30*46</f>
        <v>42.933333333333337</v>
      </c>
      <c r="I15" s="5"/>
      <c r="J15" s="5"/>
      <c r="K15" s="6">
        <v>92</v>
      </c>
      <c r="L15" s="6">
        <v>28</v>
      </c>
      <c r="M15" s="6">
        <f t="shared" si="0"/>
        <v>44.8</v>
      </c>
    </row>
    <row r="16" spans="1:14">
      <c r="A16" s="2" t="s">
        <v>32</v>
      </c>
      <c r="B16" s="4">
        <v>42857</v>
      </c>
      <c r="C16" s="4"/>
      <c r="D16" s="4">
        <v>42866</v>
      </c>
      <c r="E16" s="5"/>
      <c r="F16" s="49"/>
      <c r="G16" s="5"/>
      <c r="H16" s="5">
        <f>23/30*9</f>
        <v>6.9</v>
      </c>
      <c r="I16" s="5">
        <f>60*0.7</f>
        <v>42</v>
      </c>
      <c r="J16" s="5"/>
      <c r="K16" s="6">
        <v>60</v>
      </c>
      <c r="L16" s="6">
        <v>23</v>
      </c>
      <c r="M16" s="6">
        <f t="shared" si="0"/>
        <v>25.9</v>
      </c>
    </row>
    <row r="17" spans="1:14">
      <c r="A17" s="2" t="s">
        <v>37</v>
      </c>
      <c r="B17" s="4">
        <v>42891</v>
      </c>
      <c r="C17" s="4"/>
      <c r="D17" s="4">
        <v>42915</v>
      </c>
      <c r="E17" s="5"/>
      <c r="F17" s="49"/>
      <c r="G17" s="5">
        <v>6.83</v>
      </c>
      <c r="H17" s="5">
        <f>24/30*24</f>
        <v>19.200000000000003</v>
      </c>
      <c r="I17" s="5"/>
      <c r="J17" s="5"/>
      <c r="K17" s="6">
        <v>70</v>
      </c>
      <c r="L17" s="6">
        <v>24</v>
      </c>
      <c r="M17" s="6">
        <f t="shared" si="0"/>
        <v>32.199999999999996</v>
      </c>
    </row>
    <row r="18" spans="1:14">
      <c r="A18" s="2" t="s">
        <v>39</v>
      </c>
      <c r="B18" s="4">
        <v>43081</v>
      </c>
      <c r="C18" s="4"/>
      <c r="D18" s="4">
        <v>43109</v>
      </c>
      <c r="E18" s="5"/>
      <c r="F18" s="49"/>
      <c r="G18" s="5">
        <v>9.83</v>
      </c>
      <c r="H18" s="5">
        <f>36/30*28</f>
        <v>33.6</v>
      </c>
      <c r="I18" s="5"/>
      <c r="J18" s="5"/>
      <c r="K18" s="6">
        <v>120</v>
      </c>
      <c r="L18" s="6">
        <v>36</v>
      </c>
      <c r="M18" s="6">
        <f t="shared" si="0"/>
        <v>58.8</v>
      </c>
    </row>
    <row r="19" spans="1:14">
      <c r="A19" s="22" t="s">
        <v>56</v>
      </c>
      <c r="B19" s="4">
        <v>43361</v>
      </c>
      <c r="C19" s="4"/>
      <c r="D19" s="4">
        <v>43132</v>
      </c>
      <c r="E19" s="5"/>
      <c r="F19" s="49"/>
      <c r="G19" s="5">
        <v>14.11</v>
      </c>
      <c r="H19" s="5">
        <f>25*4+25/30*12</f>
        <v>110</v>
      </c>
      <c r="I19" s="5"/>
      <c r="J19" s="5"/>
      <c r="K19" s="6">
        <v>75</v>
      </c>
      <c r="L19" s="6">
        <v>25</v>
      </c>
      <c r="M19" s="6">
        <f t="shared" si="0"/>
        <v>35</v>
      </c>
    </row>
    <row r="20" spans="1:14">
      <c r="A20" s="2" t="s">
        <v>40</v>
      </c>
      <c r="B20" s="4">
        <v>43106</v>
      </c>
      <c r="C20" s="4"/>
      <c r="D20" s="4">
        <v>43146</v>
      </c>
      <c r="E20" s="5"/>
      <c r="F20" s="49"/>
      <c r="G20" s="5">
        <v>8.2899999999999991</v>
      </c>
      <c r="H20" s="5">
        <f>25/30*39</f>
        <v>32.5</v>
      </c>
      <c r="I20" s="5"/>
      <c r="J20" s="5"/>
      <c r="K20" s="6">
        <v>70</v>
      </c>
      <c r="L20" s="6">
        <v>26</v>
      </c>
      <c r="M20" s="6">
        <f t="shared" si="0"/>
        <v>30.799999999999997</v>
      </c>
    </row>
    <row r="21" spans="1:14">
      <c r="A21" s="9" t="s">
        <v>44</v>
      </c>
      <c r="B21" s="4">
        <v>43196</v>
      </c>
      <c r="C21" s="4"/>
      <c r="D21" s="4">
        <v>43250</v>
      </c>
      <c r="E21" s="5"/>
      <c r="F21" s="49"/>
      <c r="G21" s="5">
        <v>13.78</v>
      </c>
      <c r="H21" s="5">
        <f>25*24/30+25</f>
        <v>45</v>
      </c>
      <c r="I21" s="5"/>
      <c r="J21" s="5"/>
      <c r="K21" s="6">
        <f>60</f>
        <v>60</v>
      </c>
      <c r="L21" s="6">
        <v>25</v>
      </c>
      <c r="M21" s="6">
        <f t="shared" si="0"/>
        <v>24.5</v>
      </c>
    </row>
    <row r="22" spans="1:14">
      <c r="A22" s="22" t="s">
        <v>47</v>
      </c>
      <c r="B22" s="4">
        <v>43355</v>
      </c>
      <c r="C22" s="4"/>
      <c r="D22" s="4">
        <v>43277</v>
      </c>
      <c r="E22" s="5"/>
      <c r="F22" s="49"/>
      <c r="G22" s="5">
        <v>19.98</v>
      </c>
      <c r="H22" s="5">
        <f>36*2+36/30*16</f>
        <v>91.2</v>
      </c>
      <c r="I22" s="5"/>
      <c r="J22" s="5"/>
      <c r="K22" s="6">
        <v>105</v>
      </c>
      <c r="L22" s="6">
        <v>36</v>
      </c>
      <c r="M22" s="6">
        <f t="shared" si="0"/>
        <v>48.3</v>
      </c>
    </row>
    <row r="23" spans="1:14">
      <c r="A23" s="22" t="s">
        <v>48</v>
      </c>
      <c r="B23" s="4">
        <v>43367</v>
      </c>
      <c r="C23" s="4"/>
      <c r="D23" s="4">
        <v>43284</v>
      </c>
      <c r="E23" s="5"/>
      <c r="F23" s="49"/>
      <c r="G23" s="5">
        <v>9.1</v>
      </c>
      <c r="H23" s="5">
        <f>25+25/30*27</f>
        <v>47.5</v>
      </c>
      <c r="I23" s="5"/>
      <c r="J23" s="5"/>
      <c r="K23" s="6">
        <v>75</v>
      </c>
      <c r="L23" s="6">
        <v>25</v>
      </c>
      <c r="M23" s="6">
        <f t="shared" si="0"/>
        <v>35</v>
      </c>
    </row>
    <row r="24" spans="1:14">
      <c r="A24" s="2" t="s">
        <v>45</v>
      </c>
      <c r="B24" s="4"/>
      <c r="C24" s="4"/>
      <c r="D24" s="4">
        <v>43286</v>
      </c>
      <c r="E24" s="5"/>
      <c r="F24" s="49"/>
      <c r="G24" s="5">
        <v>11.56</v>
      </c>
      <c r="H24" s="5"/>
      <c r="I24" s="5"/>
      <c r="J24" s="5"/>
      <c r="K24" s="6">
        <v>150</v>
      </c>
      <c r="L24" s="6">
        <v>76</v>
      </c>
      <c r="M24" s="6">
        <f t="shared" si="0"/>
        <v>51.8</v>
      </c>
      <c r="N24" s="20"/>
    </row>
    <row r="25" spans="1:14">
      <c r="A25" s="22" t="s">
        <v>49</v>
      </c>
      <c r="B25" s="4">
        <v>43367</v>
      </c>
      <c r="C25" s="4"/>
      <c r="D25" s="4">
        <v>43291</v>
      </c>
      <c r="E25" s="5"/>
      <c r="F25" s="49"/>
      <c r="G25" s="5">
        <v>10.039999999999999</v>
      </c>
      <c r="H25" s="5">
        <f>50+25/30*14</f>
        <v>61.666666666666671</v>
      </c>
      <c r="I25" s="5"/>
      <c r="J25" s="5"/>
      <c r="K25" s="6">
        <v>70</v>
      </c>
      <c r="L25" s="6">
        <v>25</v>
      </c>
      <c r="M25" s="6">
        <f t="shared" si="0"/>
        <v>31.499999999999996</v>
      </c>
    </row>
    <row r="26" spans="1:14">
      <c r="A26" s="22" t="s">
        <v>51</v>
      </c>
      <c r="B26" s="4">
        <v>43358</v>
      </c>
      <c r="C26" s="4"/>
      <c r="D26" s="4">
        <v>43291</v>
      </c>
      <c r="E26" s="5"/>
      <c r="F26" s="49"/>
      <c r="G26" s="5">
        <v>10.039999999999999</v>
      </c>
      <c r="H26" s="5">
        <f>50+25/30*5</f>
        <v>54.166666666666664</v>
      </c>
      <c r="I26" s="5"/>
      <c r="J26" s="5"/>
      <c r="K26" s="6">
        <v>75</v>
      </c>
      <c r="L26" s="6">
        <v>25</v>
      </c>
      <c r="M26" s="6">
        <f t="shared" si="0"/>
        <v>35</v>
      </c>
    </row>
    <row r="27" spans="1:14">
      <c r="A27" s="22" t="s">
        <v>52</v>
      </c>
      <c r="B27" s="4">
        <v>43367</v>
      </c>
      <c r="C27" s="4"/>
      <c r="D27" s="4">
        <v>43308</v>
      </c>
      <c r="E27" s="5"/>
      <c r="F27" s="49"/>
      <c r="G27" s="5">
        <v>10.86</v>
      </c>
      <c r="H27" s="5">
        <f>25+25/30*27</f>
        <v>47.5</v>
      </c>
      <c r="I27" s="5"/>
      <c r="J27" s="5"/>
      <c r="K27" s="6">
        <v>75</v>
      </c>
      <c r="L27" s="18">
        <v>25</v>
      </c>
      <c r="M27" s="18">
        <f t="shared" si="0"/>
        <v>35</v>
      </c>
    </row>
    <row r="28" spans="1:14">
      <c r="A28" s="22" t="s">
        <v>50</v>
      </c>
      <c r="B28" s="4">
        <v>43367</v>
      </c>
      <c r="C28" s="4"/>
      <c r="D28" s="4">
        <v>43312</v>
      </c>
      <c r="E28" s="5"/>
      <c r="F28" s="49"/>
      <c r="G28" s="5">
        <v>10.86</v>
      </c>
      <c r="H28" s="5">
        <f>25+25/30*24</f>
        <v>45</v>
      </c>
      <c r="I28" s="5"/>
      <c r="J28" s="5"/>
      <c r="K28" s="6">
        <v>70</v>
      </c>
      <c r="L28" s="18">
        <v>25</v>
      </c>
      <c r="M28" s="18">
        <f t="shared" si="0"/>
        <v>31.499999999999996</v>
      </c>
    </row>
    <row r="29" spans="1:14">
      <c r="A29" s="22" t="s">
        <v>55</v>
      </c>
      <c r="B29" s="4">
        <v>43363</v>
      </c>
      <c r="C29" s="4"/>
      <c r="D29" s="4">
        <v>43440</v>
      </c>
      <c r="E29" s="5"/>
      <c r="F29" s="49"/>
      <c r="G29" s="5">
        <v>14.11</v>
      </c>
      <c r="H29" s="5">
        <f>25*2+25*16/30</f>
        <v>63.333333333333336</v>
      </c>
      <c r="I29" s="5"/>
      <c r="J29" s="5"/>
      <c r="K29" s="6">
        <v>75</v>
      </c>
      <c r="L29" s="18">
        <v>25</v>
      </c>
      <c r="M29" s="18">
        <f t="shared" si="0"/>
        <v>35</v>
      </c>
    </row>
    <row r="30" spans="1:14">
      <c r="A30" s="22" t="s">
        <v>54</v>
      </c>
      <c r="B30" s="4">
        <v>43167</v>
      </c>
      <c r="C30" s="4"/>
      <c r="D30" s="4">
        <v>43455</v>
      </c>
      <c r="E30" s="5"/>
      <c r="F30" s="49"/>
      <c r="G30" s="5">
        <v>10.86</v>
      </c>
      <c r="H30" s="5">
        <f>9*25+25*13/30</f>
        <v>235.83333333333334</v>
      </c>
      <c r="I30" s="5"/>
      <c r="J30" s="5"/>
      <c r="K30" s="6">
        <v>90</v>
      </c>
      <c r="L30" s="18">
        <v>36</v>
      </c>
      <c r="M30" s="18">
        <f t="shared" si="0"/>
        <v>37.799999999999997</v>
      </c>
    </row>
    <row r="31" spans="1:14">
      <c r="A31" s="22" t="s">
        <v>57</v>
      </c>
      <c r="B31" s="4">
        <v>43478</v>
      </c>
      <c r="C31" s="4"/>
      <c r="D31" s="4">
        <v>43536</v>
      </c>
      <c r="E31" s="5"/>
      <c r="F31" s="49"/>
      <c r="G31" s="5">
        <v>10.86</v>
      </c>
      <c r="H31" s="5">
        <v>25</v>
      </c>
      <c r="I31" s="5"/>
      <c r="J31" s="5"/>
      <c r="K31" s="6">
        <v>70</v>
      </c>
      <c r="L31" s="6">
        <v>25</v>
      </c>
      <c r="M31" s="6">
        <f t="shared" si="0"/>
        <v>31.499999999999996</v>
      </c>
    </row>
    <row r="32" spans="1:14">
      <c r="A32" s="22" t="s">
        <v>59</v>
      </c>
      <c r="B32" s="4">
        <v>43528</v>
      </c>
      <c r="C32" s="4"/>
      <c r="D32" s="4">
        <v>43538</v>
      </c>
      <c r="E32" s="5"/>
      <c r="F32" s="49"/>
      <c r="G32" s="5">
        <v>14.92</v>
      </c>
      <c r="H32" s="5">
        <f>77/30*10</f>
        <v>25.666666666666668</v>
      </c>
      <c r="I32" s="5"/>
      <c r="J32" s="5"/>
      <c r="K32" s="6">
        <v>169</v>
      </c>
      <c r="L32" s="6">
        <f>64+11+2</f>
        <v>77</v>
      </c>
      <c r="M32" s="6">
        <f t="shared" si="0"/>
        <v>64.399999999999991</v>
      </c>
    </row>
    <row r="33" spans="1:14">
      <c r="A33" s="22" t="s">
        <v>58</v>
      </c>
      <c r="B33" s="4">
        <v>43534</v>
      </c>
      <c r="C33" s="4"/>
      <c r="D33" s="4">
        <v>43542</v>
      </c>
      <c r="E33" s="5"/>
      <c r="F33" s="49"/>
      <c r="G33" s="5">
        <f>10.86*2</f>
        <v>21.72</v>
      </c>
      <c r="H33" s="5">
        <v>0</v>
      </c>
      <c r="I33" s="5"/>
      <c r="J33" s="5"/>
      <c r="K33" s="6">
        <v>120</v>
      </c>
      <c r="L33" s="6">
        <f>60+11</f>
        <v>71</v>
      </c>
      <c r="M33" s="6">
        <f t="shared" si="0"/>
        <v>34.299999999999997</v>
      </c>
    </row>
    <row r="34" spans="1:14">
      <c r="A34" s="22" t="s">
        <v>61</v>
      </c>
      <c r="B34" s="4">
        <v>43482</v>
      </c>
      <c r="C34" s="4"/>
      <c r="D34" s="4">
        <v>43542</v>
      </c>
      <c r="E34" s="5"/>
      <c r="F34" s="49"/>
      <c r="G34" s="5">
        <v>11.1</v>
      </c>
      <c r="H34" s="5">
        <f>25*2</f>
        <v>50</v>
      </c>
      <c r="I34" s="5"/>
      <c r="J34" s="5"/>
      <c r="K34" s="6">
        <v>70</v>
      </c>
      <c r="L34" s="6">
        <v>26</v>
      </c>
      <c r="M34" s="6">
        <f t="shared" si="0"/>
        <v>30.799999999999997</v>
      </c>
    </row>
    <row r="35" spans="1:14">
      <c r="A35" s="22" t="s">
        <v>63</v>
      </c>
      <c r="B35" s="4">
        <v>43593</v>
      </c>
      <c r="C35" s="4"/>
      <c r="D35" s="4">
        <v>43605</v>
      </c>
      <c r="E35" s="5"/>
      <c r="F35" s="49"/>
      <c r="G35" s="5">
        <f>10.86*2+20</f>
        <v>41.72</v>
      </c>
      <c r="H35" s="5">
        <f>18/30*12</f>
        <v>7.1999999999999993</v>
      </c>
      <c r="I35" s="5"/>
      <c r="J35" s="5"/>
      <c r="K35" s="6">
        <v>100</v>
      </c>
      <c r="L35" s="6">
        <f>11+7</f>
        <v>18</v>
      </c>
      <c r="M35" s="6">
        <f t="shared" si="0"/>
        <v>57.4</v>
      </c>
    </row>
    <row r="36" spans="1:14">
      <c r="A36" s="22" t="s">
        <v>67</v>
      </c>
      <c r="B36" s="4">
        <v>43600</v>
      </c>
      <c r="C36" s="4"/>
      <c r="D36" s="4">
        <v>43629</v>
      </c>
      <c r="E36" s="5"/>
      <c r="F36" s="49"/>
      <c r="G36" s="5">
        <f>10.86*2</f>
        <v>21.72</v>
      </c>
      <c r="H36" s="5">
        <f>22/30*58</f>
        <v>42.533333333333331</v>
      </c>
      <c r="I36" s="5">
        <v>50</v>
      </c>
      <c r="J36" s="5">
        <f>G36+H36+I36</f>
        <v>114.25333333333333</v>
      </c>
      <c r="K36" s="6">
        <v>60</v>
      </c>
      <c r="L36" s="6">
        <v>25</v>
      </c>
      <c r="M36" s="6">
        <v>0</v>
      </c>
    </row>
    <row r="37" spans="1:14">
      <c r="A37" s="22" t="s">
        <v>66</v>
      </c>
      <c r="B37" s="4">
        <v>43600</v>
      </c>
      <c r="C37" s="4"/>
      <c r="D37" s="4">
        <v>43629</v>
      </c>
      <c r="E37" s="5"/>
      <c r="F37" s="49"/>
      <c r="G37" s="5">
        <f>10.86</f>
        <v>10.86</v>
      </c>
      <c r="H37" s="5">
        <f>39/30*58</f>
        <v>75.400000000000006</v>
      </c>
      <c r="I37" s="5"/>
      <c r="J37" s="5">
        <f>G37+H37</f>
        <v>86.26</v>
      </c>
      <c r="K37" s="6">
        <v>110</v>
      </c>
      <c r="L37" s="6">
        <f>25+11+3</f>
        <v>39</v>
      </c>
      <c r="M37" s="6">
        <v>0</v>
      </c>
      <c r="N37" t="s">
        <v>73</v>
      </c>
    </row>
    <row r="38" spans="1:14">
      <c r="A38" s="22" t="s">
        <v>64</v>
      </c>
      <c r="B38" s="4">
        <v>43627</v>
      </c>
      <c r="C38" s="4"/>
      <c r="D38" s="4">
        <v>43629</v>
      </c>
      <c r="E38" s="5"/>
      <c r="F38" s="49"/>
      <c r="G38" s="5">
        <v>10.86</v>
      </c>
      <c r="H38" s="5">
        <f>25/30*2</f>
        <v>1.6666666666666667</v>
      </c>
      <c r="I38" s="5"/>
      <c r="J38" s="5">
        <f>G38+H38</f>
        <v>12.526666666666666</v>
      </c>
      <c r="K38" s="6">
        <v>75</v>
      </c>
      <c r="L38" s="6">
        <v>33</v>
      </c>
      <c r="M38" s="6">
        <f t="shared" si="0"/>
        <v>29.4</v>
      </c>
    </row>
    <row r="39" spans="1:14">
      <c r="A39" s="22" t="s">
        <v>65</v>
      </c>
      <c r="B39" s="4">
        <v>43622</v>
      </c>
      <c r="C39" s="4"/>
      <c r="D39" s="4">
        <v>43650</v>
      </c>
      <c r="E39" s="5"/>
      <c r="F39" s="49"/>
      <c r="G39" s="5">
        <v>10.86</v>
      </c>
      <c r="H39" s="5"/>
      <c r="I39" s="5"/>
      <c r="J39" s="5"/>
      <c r="K39" s="6">
        <v>120</v>
      </c>
      <c r="L39" s="6">
        <v>60</v>
      </c>
      <c r="M39" s="6">
        <f t="shared" si="0"/>
        <v>42</v>
      </c>
    </row>
    <row r="40" spans="1:14">
      <c r="A40" s="22" t="s">
        <v>71</v>
      </c>
      <c r="B40" s="4">
        <v>43635</v>
      </c>
      <c r="C40" s="4"/>
      <c r="D40" s="4">
        <v>43662</v>
      </c>
      <c r="E40" s="5"/>
      <c r="F40" s="49"/>
      <c r="G40" s="5">
        <f>10.86*2</f>
        <v>21.72</v>
      </c>
      <c r="H40" s="5"/>
      <c r="I40" s="5"/>
      <c r="J40" s="5"/>
      <c r="K40" s="6">
        <v>70</v>
      </c>
      <c r="L40" s="6">
        <v>26</v>
      </c>
      <c r="M40" s="6">
        <f t="shared" si="0"/>
        <v>30.799999999999997</v>
      </c>
      <c r="N40" t="s">
        <v>72</v>
      </c>
    </row>
    <row r="41" spans="1:14">
      <c r="A41" s="2" t="s">
        <v>75</v>
      </c>
      <c r="B41" s="4">
        <v>43656</v>
      </c>
      <c r="C41" s="4"/>
      <c r="D41" s="4">
        <v>43711</v>
      </c>
      <c r="E41" s="5"/>
      <c r="F41" s="49"/>
      <c r="G41" s="5">
        <v>10.86</v>
      </c>
      <c r="H41" s="5">
        <f>36/30*48</f>
        <v>57.599999999999994</v>
      </c>
      <c r="I41" s="5"/>
      <c r="J41" s="5"/>
      <c r="K41" s="6">
        <v>105</v>
      </c>
      <c r="L41" s="6">
        <v>36</v>
      </c>
      <c r="M41" s="18">
        <f t="shared" si="0"/>
        <v>48.3</v>
      </c>
    </row>
    <row r="42" spans="1:14">
      <c r="A42" s="2" t="s">
        <v>76</v>
      </c>
      <c r="B42" s="4">
        <v>43677</v>
      </c>
      <c r="C42" s="4"/>
      <c r="D42" s="4">
        <v>43713</v>
      </c>
      <c r="E42" s="5"/>
      <c r="F42" s="49"/>
      <c r="G42" s="5">
        <v>24.06</v>
      </c>
      <c r="H42" s="5">
        <f>80/30*35</f>
        <v>93.333333333333329</v>
      </c>
      <c r="I42" s="5">
        <v>40</v>
      </c>
      <c r="J42" s="5"/>
      <c r="K42" s="6">
        <v>149</v>
      </c>
      <c r="L42" s="6">
        <v>80</v>
      </c>
      <c r="M42" s="6">
        <f t="shared" si="0"/>
        <v>48.3</v>
      </c>
      <c r="N42" t="s">
        <v>79</v>
      </c>
    </row>
    <row r="43" spans="1:14">
      <c r="A43" s="22" t="s">
        <v>78</v>
      </c>
      <c r="B43" s="4">
        <v>43747</v>
      </c>
      <c r="C43" s="4"/>
      <c r="D43" s="4">
        <v>43789</v>
      </c>
      <c r="E43" s="5"/>
      <c r="F43" s="49"/>
      <c r="G43" s="5">
        <f>9.51+9.44</f>
        <v>18.95</v>
      </c>
      <c r="H43" s="5">
        <f>52/30*41</f>
        <v>71.066666666666663</v>
      </c>
      <c r="I43" s="5"/>
      <c r="J43" s="5"/>
      <c r="K43" s="17">
        <v>99</v>
      </c>
      <c r="L43" s="18">
        <f>52</f>
        <v>52</v>
      </c>
      <c r="M43" s="6">
        <f t="shared" si="0"/>
        <v>32.9</v>
      </c>
    </row>
    <row r="44" spans="1:14">
      <c r="A44" s="2" t="s">
        <v>81</v>
      </c>
      <c r="B44" s="4">
        <v>43788</v>
      </c>
      <c r="C44" s="4"/>
      <c r="D44" s="4">
        <v>43865</v>
      </c>
      <c r="E44" s="5"/>
      <c r="F44" s="49"/>
      <c r="G44" s="5">
        <v>9.14</v>
      </c>
      <c r="H44" s="5">
        <f>25/30*45</f>
        <v>37.5</v>
      </c>
      <c r="I44" s="5"/>
      <c r="J44" s="5"/>
      <c r="K44" s="6">
        <v>90</v>
      </c>
      <c r="L44" s="6">
        <v>25</v>
      </c>
      <c r="M44" s="27">
        <f t="shared" si="0"/>
        <v>45.5</v>
      </c>
    </row>
    <row r="45" spans="1:14">
      <c r="A45" s="22" t="s">
        <v>87</v>
      </c>
      <c r="B45" s="35">
        <v>43878</v>
      </c>
      <c r="C45" s="35"/>
      <c r="D45" s="35">
        <v>43892</v>
      </c>
      <c r="E45" s="5"/>
      <c r="F45" s="49"/>
      <c r="G45" s="5">
        <v>12.19</v>
      </c>
      <c r="H45" s="5">
        <v>5.5</v>
      </c>
      <c r="I45" s="5"/>
      <c r="J45" s="5"/>
      <c r="K45" s="6">
        <v>25</v>
      </c>
      <c r="L45" s="6">
        <v>11</v>
      </c>
      <c r="M45" s="6">
        <f t="shared" si="0"/>
        <v>9.7999999999999989</v>
      </c>
    </row>
    <row r="46" spans="1:14">
      <c r="A46" s="22" t="s">
        <v>89</v>
      </c>
      <c r="B46" s="35">
        <v>43908</v>
      </c>
      <c r="C46" s="35"/>
      <c r="D46" s="35">
        <v>43893</v>
      </c>
      <c r="E46" s="5"/>
      <c r="F46" s="49"/>
      <c r="G46" s="5">
        <v>9.6</v>
      </c>
      <c r="H46" s="5">
        <v>5.5</v>
      </c>
      <c r="I46" s="5"/>
      <c r="J46" s="5"/>
      <c r="K46" s="6">
        <v>25</v>
      </c>
      <c r="L46" s="6">
        <v>11</v>
      </c>
      <c r="M46" s="6">
        <f t="shared" si="0"/>
        <v>9.7999999999999989</v>
      </c>
    </row>
    <row r="47" spans="1:14">
      <c r="A47" s="22" t="s">
        <v>85</v>
      </c>
      <c r="B47" s="35">
        <v>43881</v>
      </c>
      <c r="C47" s="35"/>
      <c r="D47" s="35">
        <v>43895</v>
      </c>
      <c r="E47" s="5"/>
      <c r="F47" s="49"/>
      <c r="G47" s="5">
        <v>9.14</v>
      </c>
      <c r="H47" s="5">
        <f>11/30*15</f>
        <v>5.5</v>
      </c>
      <c r="I47" s="5"/>
      <c r="J47" s="5"/>
      <c r="K47" s="6">
        <v>25</v>
      </c>
      <c r="L47" s="6">
        <v>11</v>
      </c>
      <c r="M47" s="6">
        <f t="shared" si="0"/>
        <v>9.7999999999999989</v>
      </c>
    </row>
    <row r="48" spans="1:14">
      <c r="A48" s="22" t="s">
        <v>82</v>
      </c>
      <c r="B48" s="45">
        <v>40235</v>
      </c>
      <c r="C48" s="45"/>
      <c r="D48" s="35">
        <v>43901</v>
      </c>
      <c r="E48" s="5"/>
      <c r="F48" s="49"/>
      <c r="G48" s="5">
        <v>9.6</v>
      </c>
      <c r="H48" s="5">
        <f>11/2</f>
        <v>5.5</v>
      </c>
      <c r="I48" s="5"/>
      <c r="J48" s="5"/>
      <c r="K48" s="6">
        <v>25</v>
      </c>
      <c r="L48" s="6">
        <v>11</v>
      </c>
      <c r="M48" s="6">
        <f t="shared" si="0"/>
        <v>9.7999999999999989</v>
      </c>
    </row>
    <row r="49" spans="1:15">
      <c r="A49" s="22" t="s">
        <v>84</v>
      </c>
      <c r="B49" s="35">
        <v>43889</v>
      </c>
      <c r="C49" s="35"/>
      <c r="D49" s="35">
        <v>43903</v>
      </c>
      <c r="E49" s="5"/>
      <c r="F49" s="49"/>
      <c r="G49" s="5">
        <v>9.14</v>
      </c>
      <c r="H49" s="5">
        <f>11/30*15</f>
        <v>5.5</v>
      </c>
      <c r="I49" s="5"/>
      <c r="J49" s="5"/>
      <c r="K49" s="6">
        <v>25</v>
      </c>
      <c r="L49" s="6">
        <v>11</v>
      </c>
      <c r="M49" s="6">
        <f t="shared" si="0"/>
        <v>9.7999999999999989</v>
      </c>
    </row>
    <row r="50" spans="1:15">
      <c r="A50" s="22" t="s">
        <v>80</v>
      </c>
      <c r="B50" s="35">
        <v>43873</v>
      </c>
      <c r="C50" s="35"/>
      <c r="D50" s="35">
        <v>43910</v>
      </c>
      <c r="E50" s="5"/>
      <c r="F50" s="49"/>
      <c r="G50" s="5">
        <v>21.84</v>
      </c>
      <c r="H50" s="5">
        <f>56/30*38</f>
        <v>70.933333333333337</v>
      </c>
      <c r="I50" s="5"/>
      <c r="J50" s="5"/>
      <c r="K50" s="6">
        <v>120</v>
      </c>
      <c r="L50" s="6">
        <v>56</v>
      </c>
      <c r="M50" s="6">
        <f t="shared" si="0"/>
        <v>44.8</v>
      </c>
    </row>
    <row r="51" spans="1:15">
      <c r="A51" s="22" t="s">
        <v>83</v>
      </c>
      <c r="B51" s="35">
        <v>43872</v>
      </c>
      <c r="C51" s="35"/>
      <c r="D51" s="35">
        <v>43913</v>
      </c>
      <c r="E51" s="5"/>
      <c r="F51" s="49"/>
      <c r="G51" s="5">
        <v>12.24</v>
      </c>
      <c r="H51" s="5">
        <f>45/30*42</f>
        <v>63</v>
      </c>
      <c r="I51" s="5"/>
      <c r="J51" s="5"/>
      <c r="K51" s="6">
        <v>85</v>
      </c>
      <c r="L51" s="6">
        <v>45</v>
      </c>
      <c r="M51" s="6">
        <f t="shared" si="0"/>
        <v>28</v>
      </c>
    </row>
    <row r="52" spans="1:15">
      <c r="A52" s="22" t="s">
        <v>88</v>
      </c>
      <c r="B52" s="35">
        <v>43855</v>
      </c>
      <c r="C52" s="35"/>
      <c r="D52" s="35">
        <v>43941</v>
      </c>
      <c r="E52" s="5"/>
      <c r="F52" s="49"/>
      <c r="G52" s="5">
        <v>13.93</v>
      </c>
      <c r="H52" s="5">
        <f>56/30*85</f>
        <v>158.66666666666666</v>
      </c>
      <c r="I52" s="5"/>
      <c r="J52" s="5"/>
      <c r="K52" s="6">
        <v>110</v>
      </c>
      <c r="L52" s="6">
        <v>56</v>
      </c>
      <c r="M52" s="6">
        <f t="shared" si="0"/>
        <v>37.799999999999997</v>
      </c>
    </row>
    <row r="53" spans="1:15">
      <c r="A53" s="22" t="s">
        <v>90</v>
      </c>
      <c r="B53" s="35" t="s">
        <v>96</v>
      </c>
      <c r="C53" s="35"/>
      <c r="D53" s="35">
        <v>44015</v>
      </c>
      <c r="E53" s="5" t="s">
        <v>160</v>
      </c>
      <c r="F53" s="49">
        <v>12.5</v>
      </c>
      <c r="G53" s="5">
        <v>11.29</v>
      </c>
      <c r="H53" s="5">
        <f>100</f>
        <v>100</v>
      </c>
      <c r="I53" s="5"/>
      <c r="J53" s="5"/>
      <c r="K53" s="6">
        <v>75</v>
      </c>
      <c r="L53" s="6">
        <f>25+11</f>
        <v>36</v>
      </c>
      <c r="M53" s="6">
        <f>12.5+(62.5-L53)*0.7</f>
        <v>31.049999999999997</v>
      </c>
      <c r="O53" s="41"/>
    </row>
    <row r="54" spans="1:15">
      <c r="A54" s="22" t="s">
        <v>97</v>
      </c>
      <c r="B54" s="35">
        <v>43990</v>
      </c>
      <c r="C54" s="35"/>
      <c r="D54" s="35">
        <v>44036</v>
      </c>
      <c r="E54" s="5"/>
      <c r="F54" s="49"/>
      <c r="G54" s="5">
        <v>8.75</v>
      </c>
      <c r="H54" s="5">
        <f>56/30*46</f>
        <v>85.866666666666674</v>
      </c>
      <c r="I54" s="5"/>
      <c r="J54" s="5"/>
      <c r="K54" s="6">
        <v>110</v>
      </c>
      <c r="L54" s="6">
        <f>45+11</f>
        <v>56</v>
      </c>
      <c r="M54" s="6">
        <f>(K54-L54)*0.7</f>
        <v>37.799999999999997</v>
      </c>
    </row>
    <row r="55" spans="1:15">
      <c r="A55" s="22" t="s">
        <v>95</v>
      </c>
      <c r="B55" s="35">
        <v>44028</v>
      </c>
      <c r="C55" s="35"/>
      <c r="D55" s="35">
        <v>44040</v>
      </c>
      <c r="E55" s="5"/>
      <c r="F55" s="49"/>
      <c r="G55" s="5">
        <v>8.75</v>
      </c>
      <c r="H55" s="5">
        <f>41/30*12</f>
        <v>16.399999999999999</v>
      </c>
      <c r="I55" s="5"/>
      <c r="J55" s="5"/>
      <c r="K55" s="6">
        <v>60</v>
      </c>
      <c r="L55" s="6">
        <v>41</v>
      </c>
      <c r="M55" s="6">
        <f>(K55-L55)*0.7</f>
        <v>13.299999999999999</v>
      </c>
    </row>
    <row r="56" spans="1:15">
      <c r="A56" s="22" t="s">
        <v>93</v>
      </c>
      <c r="B56" s="35">
        <v>44043</v>
      </c>
      <c r="C56" s="35"/>
      <c r="D56" s="35">
        <v>44043</v>
      </c>
      <c r="E56" s="5" t="s">
        <v>160</v>
      </c>
      <c r="F56" s="49">
        <v>15</v>
      </c>
      <c r="G56" s="5">
        <v>27.02</v>
      </c>
      <c r="H56" s="5">
        <v>0</v>
      </c>
      <c r="I56" s="5"/>
      <c r="J56" s="5"/>
      <c r="K56" s="6">
        <v>160</v>
      </c>
      <c r="L56" s="6">
        <f>45+22</f>
        <v>67</v>
      </c>
      <c r="M56" s="6">
        <f>15+78*0.7</f>
        <v>69.599999999999994</v>
      </c>
      <c r="O56" s="41"/>
    </row>
    <row r="57" spans="1:15">
      <c r="A57" s="22" t="s">
        <v>98</v>
      </c>
      <c r="B57" s="35">
        <v>44048</v>
      </c>
      <c r="C57" s="35"/>
      <c r="D57" s="35">
        <v>44081</v>
      </c>
      <c r="E57" s="5" t="s">
        <v>160</v>
      </c>
      <c r="F57" s="49">
        <v>17.5</v>
      </c>
      <c r="G57" s="5">
        <v>27.88</v>
      </c>
      <c r="H57" s="5">
        <f>58/30*32</f>
        <v>61.866666666666667</v>
      </c>
      <c r="I57" s="5">
        <v>125</v>
      </c>
      <c r="J57" s="5"/>
      <c r="K57" s="6">
        <v>140</v>
      </c>
      <c r="L57" s="6">
        <f>25+33</f>
        <v>58</v>
      </c>
      <c r="M57" s="6">
        <f>17.5+64.5*0.7</f>
        <v>62.65</v>
      </c>
      <c r="O57" s="41"/>
    </row>
    <row r="58" spans="1:15">
      <c r="A58" s="22" t="s">
        <v>91</v>
      </c>
      <c r="B58" s="35">
        <v>44011</v>
      </c>
      <c r="C58" s="35"/>
      <c r="D58" s="35">
        <v>44084</v>
      </c>
      <c r="E58" s="5"/>
      <c r="F58" s="49"/>
      <c r="G58" s="5">
        <v>11.29</v>
      </c>
      <c r="H58" s="5">
        <f>25/30*71</f>
        <v>59.166666666666671</v>
      </c>
      <c r="I58" s="5"/>
      <c r="J58" s="5"/>
      <c r="K58" s="6">
        <v>40</v>
      </c>
      <c r="L58" s="6">
        <v>25</v>
      </c>
      <c r="M58" s="6">
        <f>(K58-L58)*0.7</f>
        <v>10.5</v>
      </c>
    </row>
    <row r="59" spans="1:15">
      <c r="A59" s="2" t="s">
        <v>99</v>
      </c>
      <c r="B59" s="35">
        <v>44084</v>
      </c>
      <c r="C59" s="35"/>
      <c r="D59" s="35">
        <v>44105</v>
      </c>
      <c r="E59" s="5" t="s">
        <v>160</v>
      </c>
      <c r="F59" s="49">
        <v>5</v>
      </c>
      <c r="G59" s="5">
        <v>12.24</v>
      </c>
      <c r="H59" s="5">
        <f>25/30*20</f>
        <v>16.666666666666668</v>
      </c>
      <c r="I59" s="5"/>
      <c r="J59" s="5"/>
      <c r="K59" s="43">
        <v>40</v>
      </c>
      <c r="L59" s="6">
        <v>22</v>
      </c>
      <c r="M59" s="6">
        <f>5+13*0.7</f>
        <v>14.1</v>
      </c>
      <c r="O59" s="41"/>
    </row>
    <row r="60" spans="1:15">
      <c r="A60" s="2" t="s">
        <v>102</v>
      </c>
      <c r="B60" s="4" t="s">
        <v>103</v>
      </c>
      <c r="C60" s="4"/>
      <c r="D60" s="4">
        <v>44110</v>
      </c>
      <c r="E60" s="5" t="s">
        <v>160</v>
      </c>
      <c r="F60" s="49">
        <v>10</v>
      </c>
      <c r="G60" s="5">
        <v>36.65</v>
      </c>
      <c r="H60" s="5">
        <f>115/30*26</f>
        <v>99.666666666666671</v>
      </c>
      <c r="I60" s="5"/>
      <c r="J60" s="5"/>
      <c r="K60" s="6">
        <v>180</v>
      </c>
      <c r="L60" s="6">
        <v>115</v>
      </c>
      <c r="M60" s="6">
        <f>10+55*0.7</f>
        <v>48.5</v>
      </c>
      <c r="O60" s="41"/>
    </row>
    <row r="61" spans="1:15">
      <c r="A61" s="2" t="s">
        <v>94</v>
      </c>
      <c r="B61" s="35">
        <v>44124</v>
      </c>
      <c r="C61" s="35"/>
      <c r="D61" s="35">
        <v>44124</v>
      </c>
      <c r="E61" s="5"/>
      <c r="F61" s="49"/>
      <c r="G61" s="5">
        <v>7.25</v>
      </c>
      <c r="H61" s="5">
        <v>0</v>
      </c>
      <c r="I61" s="5"/>
      <c r="J61" s="5"/>
      <c r="K61" s="6">
        <v>25</v>
      </c>
      <c r="L61" s="6">
        <v>11</v>
      </c>
      <c r="M61" s="6">
        <f>(K61-L61)*0.7</f>
        <v>9.7999999999999989</v>
      </c>
    </row>
    <row r="62" spans="1:15">
      <c r="A62" s="2" t="s">
        <v>100</v>
      </c>
      <c r="B62" s="4">
        <v>44018</v>
      </c>
      <c r="C62" s="4"/>
      <c r="D62" s="4">
        <v>44124</v>
      </c>
      <c r="E62" s="40"/>
      <c r="F62" s="2"/>
      <c r="G62" s="5">
        <v>9.5</v>
      </c>
      <c r="H62" s="5">
        <f>25/30*104</f>
        <v>86.666666666666671</v>
      </c>
      <c r="I62" s="5"/>
      <c r="J62" s="5"/>
      <c r="K62" s="6">
        <v>70</v>
      </c>
      <c r="L62" s="6">
        <v>25</v>
      </c>
      <c r="M62" s="6">
        <f>(K62-L62)*0.7</f>
        <v>31.499999999999996</v>
      </c>
    </row>
    <row r="63" spans="1:15">
      <c r="A63" s="2" t="s">
        <v>101</v>
      </c>
      <c r="B63" s="4">
        <v>44070</v>
      </c>
      <c r="C63" s="4"/>
      <c r="D63" s="4">
        <v>44131</v>
      </c>
      <c r="E63" s="40"/>
      <c r="F63" s="2"/>
      <c r="G63" s="5">
        <v>13.93</v>
      </c>
      <c r="H63" s="5">
        <f>71/30*60</f>
        <v>142</v>
      </c>
      <c r="I63" s="5"/>
      <c r="J63" s="5"/>
      <c r="K63" s="6">
        <v>120</v>
      </c>
      <c r="L63" s="6">
        <f>60+11</f>
        <v>71</v>
      </c>
      <c r="M63" s="6">
        <f>(K63-L63)*0.7</f>
        <v>34.299999999999997</v>
      </c>
    </row>
    <row r="64" spans="1:15">
      <c r="A64" s="22" t="s">
        <v>104</v>
      </c>
      <c r="B64" s="4">
        <v>44159</v>
      </c>
      <c r="C64" s="4"/>
      <c r="D64" s="4">
        <v>44187</v>
      </c>
      <c r="E64" s="40"/>
      <c r="F64" s="2"/>
      <c r="G64" s="5">
        <v>13.93</v>
      </c>
      <c r="H64" s="5">
        <f>36/30*28</f>
        <v>33.6</v>
      </c>
      <c r="I64" s="5"/>
      <c r="J64" s="5"/>
      <c r="K64" s="6">
        <v>110</v>
      </c>
      <c r="L64" s="6">
        <f>25+11</f>
        <v>36</v>
      </c>
      <c r="M64" s="6">
        <f>(K64-L64)*0.7</f>
        <v>51.8</v>
      </c>
    </row>
    <row r="65" spans="1:14">
      <c r="A65" s="39" t="s">
        <v>120</v>
      </c>
      <c r="B65" s="15">
        <v>44169</v>
      </c>
      <c r="C65" s="15"/>
      <c r="D65" s="15">
        <v>44208</v>
      </c>
      <c r="E65" s="5" t="s">
        <v>160</v>
      </c>
      <c r="F65" s="34">
        <v>10</v>
      </c>
      <c r="G65" s="37"/>
      <c r="H65" s="5">
        <f>41/30*38</f>
        <v>51.933333333333337</v>
      </c>
      <c r="I65" s="5"/>
      <c r="J65" s="5"/>
      <c r="K65" s="17">
        <v>70</v>
      </c>
      <c r="L65" s="26">
        <v>45</v>
      </c>
      <c r="M65" s="37">
        <f>10+(60-45)*0.7</f>
        <v>20.5</v>
      </c>
      <c r="N65" s="1" t="s">
        <v>145</v>
      </c>
    </row>
    <row r="66" spans="1:14">
      <c r="A66" s="22" t="s">
        <v>108</v>
      </c>
      <c r="B66" s="4">
        <v>44185</v>
      </c>
      <c r="C66" s="4"/>
      <c r="D66" s="4">
        <v>44242</v>
      </c>
      <c r="E66" s="5" t="s">
        <v>160</v>
      </c>
      <c r="F66" s="49">
        <v>20</v>
      </c>
      <c r="G66" s="5">
        <v>26.48</v>
      </c>
      <c r="H66" s="5">
        <f>50/30*55</f>
        <v>91.666666666666671</v>
      </c>
      <c r="I66" s="5">
        <v>160</v>
      </c>
      <c r="J66" s="5"/>
      <c r="K66" s="6">
        <v>190</v>
      </c>
      <c r="L66" s="6">
        <v>61</v>
      </c>
      <c r="M66" s="5">
        <f>(20+(170-61)*0.7)</f>
        <v>96.3</v>
      </c>
      <c r="N66" s="1" t="s">
        <v>145</v>
      </c>
    </row>
    <row r="67" spans="1:14">
      <c r="A67" s="22" t="s">
        <v>109</v>
      </c>
      <c r="B67" s="4">
        <v>44209</v>
      </c>
      <c r="C67" s="4"/>
      <c r="D67" s="4">
        <v>44250</v>
      </c>
      <c r="E67" s="5" t="s">
        <v>160</v>
      </c>
      <c r="F67" s="49">
        <v>22.5</v>
      </c>
      <c r="G67" s="5">
        <v>22.83</v>
      </c>
      <c r="H67" s="5">
        <f>100/30*40</f>
        <v>133.33333333333334</v>
      </c>
      <c r="I67" s="5">
        <v>125</v>
      </c>
      <c r="J67" s="5"/>
      <c r="K67" s="6">
        <v>210</v>
      </c>
      <c r="L67" s="6">
        <v>100</v>
      </c>
      <c r="M67" s="6">
        <f>(22.5+87.5*0.7)</f>
        <v>83.75</v>
      </c>
    </row>
    <row r="68" spans="1:14">
      <c r="A68" s="2" t="s">
        <v>113</v>
      </c>
      <c r="B68" s="4">
        <v>44245</v>
      </c>
      <c r="C68" s="4"/>
      <c r="D68" s="4">
        <v>44271</v>
      </c>
      <c r="E68" s="5" t="s">
        <v>160</v>
      </c>
      <c r="F68" s="49">
        <v>15</v>
      </c>
      <c r="G68" s="5">
        <v>26.76</v>
      </c>
      <c r="H68" s="5">
        <f>67/30*28</f>
        <v>62.533333333333331</v>
      </c>
      <c r="I68" s="5"/>
      <c r="J68" s="5"/>
      <c r="K68" s="6">
        <v>140</v>
      </c>
      <c r="L68" s="6">
        <v>67</v>
      </c>
      <c r="M68" s="6">
        <f>(15+0.7*58)</f>
        <v>55.599999999999994</v>
      </c>
    </row>
    <row r="69" spans="1:14">
      <c r="A69" s="2" t="s">
        <v>114</v>
      </c>
      <c r="B69" s="4">
        <v>44222</v>
      </c>
      <c r="C69" s="4"/>
      <c r="D69" s="4">
        <v>44279</v>
      </c>
      <c r="E69" s="5" t="s">
        <v>160</v>
      </c>
      <c r="F69" s="49">
        <v>12.5</v>
      </c>
      <c r="G69" s="5">
        <v>13.4</v>
      </c>
      <c r="H69" s="5">
        <f>56/30*58</f>
        <v>108.26666666666667</v>
      </c>
      <c r="I69" s="5">
        <v>100</v>
      </c>
      <c r="J69" s="5"/>
      <c r="K69" s="6">
        <v>140</v>
      </c>
      <c r="L69" s="6">
        <v>56</v>
      </c>
      <c r="M69" s="5">
        <f>(12.5+71.5*0.7)</f>
        <v>62.55</v>
      </c>
      <c r="N69" s="1" t="s">
        <v>145</v>
      </c>
    </row>
    <row r="70" spans="1:14">
      <c r="A70" s="2" t="s">
        <v>112</v>
      </c>
      <c r="B70" s="4">
        <v>44270</v>
      </c>
      <c r="C70" s="4"/>
      <c r="D70" s="4">
        <v>44286</v>
      </c>
      <c r="E70" s="5" t="s">
        <v>160</v>
      </c>
      <c r="F70" s="49">
        <v>17.5</v>
      </c>
      <c r="G70" s="5">
        <v>31.96</v>
      </c>
      <c r="H70" s="5">
        <f>55/30*16</f>
        <v>29.333333333333332</v>
      </c>
      <c r="I70" s="5">
        <v>75</v>
      </c>
      <c r="J70" s="5"/>
      <c r="K70" s="6">
        <v>100</v>
      </c>
      <c r="L70" s="6">
        <v>55</v>
      </c>
      <c r="M70" s="6">
        <f>(17.5+27.5*0.7)</f>
        <v>36.75</v>
      </c>
    </row>
    <row r="71" spans="1:14">
      <c r="A71" s="2" t="s">
        <v>119</v>
      </c>
      <c r="B71" s="4">
        <v>44281</v>
      </c>
      <c r="C71" s="4"/>
      <c r="D71" s="4">
        <v>44316</v>
      </c>
      <c r="E71" s="40"/>
      <c r="F71" s="2"/>
      <c r="G71" s="5">
        <v>14.26</v>
      </c>
      <c r="H71" s="5">
        <f>45/30*34</f>
        <v>51</v>
      </c>
      <c r="I71" s="5"/>
      <c r="J71" s="5"/>
      <c r="K71" s="6">
        <v>110</v>
      </c>
      <c r="L71" s="6">
        <v>45</v>
      </c>
      <c r="M71" s="6">
        <f>(65*0.7)</f>
        <v>45.5</v>
      </c>
    </row>
    <row r="72" spans="1:14">
      <c r="A72" s="22" t="s">
        <v>121</v>
      </c>
      <c r="B72" s="4">
        <v>44316</v>
      </c>
      <c r="C72" s="4"/>
      <c r="D72" s="4">
        <v>44354</v>
      </c>
      <c r="E72" s="40"/>
      <c r="F72" s="2"/>
      <c r="G72" s="5">
        <v>15.15</v>
      </c>
      <c r="H72" s="5">
        <f>36/30*37</f>
        <v>44.4</v>
      </c>
      <c r="I72" s="5"/>
      <c r="J72" s="5"/>
      <c r="K72" s="6">
        <v>110</v>
      </c>
      <c r="L72" s="6">
        <v>36</v>
      </c>
      <c r="M72" s="5">
        <f>(K72-L72)*0.7</f>
        <v>51.8</v>
      </c>
      <c r="N72" s="1" t="s">
        <v>145</v>
      </c>
    </row>
    <row r="73" spans="1:14">
      <c r="A73" s="22" t="s">
        <v>126</v>
      </c>
      <c r="B73" s="4">
        <v>44336</v>
      </c>
      <c r="C73" s="4"/>
      <c r="D73" s="4">
        <v>44370</v>
      </c>
      <c r="E73" s="5" t="s">
        <v>161</v>
      </c>
      <c r="F73" s="49">
        <v>17.5</v>
      </c>
      <c r="G73" s="5">
        <v>35.78</v>
      </c>
      <c r="H73" s="5">
        <f>58/30*33</f>
        <v>63.8</v>
      </c>
      <c r="I73" s="5">
        <v>50</v>
      </c>
      <c r="J73" s="5"/>
      <c r="K73" s="6">
        <v>150</v>
      </c>
      <c r="L73" s="6">
        <v>58</v>
      </c>
      <c r="M73" s="6">
        <f>(17.5+74.5*0.7)</f>
        <v>69.650000000000006</v>
      </c>
    </row>
    <row r="74" spans="1:14">
      <c r="A74" s="44" t="s">
        <v>125</v>
      </c>
      <c r="B74" s="4">
        <v>44342</v>
      </c>
      <c r="C74" s="4"/>
      <c r="D74" s="4">
        <v>44386</v>
      </c>
      <c r="E74" s="5" t="s">
        <v>160</v>
      </c>
      <c r="F74" s="49">
        <v>12.5</v>
      </c>
      <c r="G74" s="5">
        <v>15.46</v>
      </c>
      <c r="H74" s="5">
        <f>36/30*43</f>
        <v>51.6</v>
      </c>
      <c r="I74" s="5">
        <f>50+45</f>
        <v>95</v>
      </c>
      <c r="J74" s="5"/>
      <c r="K74" s="6">
        <v>110</v>
      </c>
      <c r="L74" s="6">
        <v>36</v>
      </c>
      <c r="M74" s="6">
        <v>0</v>
      </c>
    </row>
    <row r="75" spans="1:14">
      <c r="A75" s="44" t="s">
        <v>129</v>
      </c>
      <c r="B75" s="4">
        <v>44348</v>
      </c>
      <c r="C75" s="4"/>
      <c r="D75" s="4">
        <v>44389</v>
      </c>
      <c r="E75" s="5" t="s">
        <v>160</v>
      </c>
      <c r="F75" s="49">
        <v>12.5</v>
      </c>
      <c r="G75" s="5">
        <v>26.22</v>
      </c>
      <c r="H75" s="5">
        <f>71/30*42</f>
        <v>99.4</v>
      </c>
      <c r="I75" s="5">
        <f>50+45</f>
        <v>95</v>
      </c>
      <c r="J75" s="5"/>
      <c r="K75" s="6">
        <v>140</v>
      </c>
      <c r="L75" s="6">
        <v>71</v>
      </c>
      <c r="M75" s="6">
        <f>(12.5+(127.5-71)*0.7)</f>
        <v>52.05</v>
      </c>
    </row>
    <row r="76" spans="1:14">
      <c r="A76" s="44" t="s">
        <v>124</v>
      </c>
      <c r="B76" s="4">
        <v>44348</v>
      </c>
      <c r="C76" s="4"/>
      <c r="D76" s="4">
        <v>44389</v>
      </c>
      <c r="E76" s="40"/>
      <c r="F76" s="2"/>
      <c r="G76" s="5">
        <v>11.62</v>
      </c>
      <c r="H76" s="5">
        <f>26/30*42</f>
        <v>36.4</v>
      </c>
      <c r="I76" s="5">
        <v>65</v>
      </c>
      <c r="J76" s="5"/>
      <c r="K76" s="6">
        <v>70</v>
      </c>
      <c r="L76" s="6">
        <v>26</v>
      </c>
      <c r="M76" s="6">
        <f>(70-26)*0.7</f>
        <v>30.799999999999997</v>
      </c>
    </row>
    <row r="77" spans="1:14">
      <c r="A77" s="44" t="s">
        <v>132</v>
      </c>
      <c r="B77" s="4">
        <v>44407</v>
      </c>
      <c r="C77" s="4"/>
      <c r="D77" s="4">
        <v>44461</v>
      </c>
      <c r="E77" s="40"/>
      <c r="F77" s="2"/>
      <c r="G77" s="5">
        <v>9.8800000000000008</v>
      </c>
      <c r="H77" s="5">
        <f>25/30*52</f>
        <v>43.333333333333336</v>
      </c>
      <c r="I77" s="5"/>
      <c r="J77" s="5"/>
      <c r="K77" s="6">
        <v>70</v>
      </c>
      <c r="L77" s="6">
        <v>25</v>
      </c>
      <c r="M77" s="6">
        <f>45*0.7</f>
        <v>31.499999999999996</v>
      </c>
    </row>
    <row r="78" spans="1:14">
      <c r="A78" s="44" t="s">
        <v>133</v>
      </c>
      <c r="B78" s="4">
        <v>44432</v>
      </c>
      <c r="C78" s="4"/>
      <c r="D78" s="4">
        <v>44467</v>
      </c>
      <c r="E78" s="40"/>
      <c r="F78" s="2"/>
      <c r="G78" s="5">
        <v>9.8800000000000008</v>
      </c>
      <c r="H78" s="5">
        <f>25/30*34</f>
        <v>28.333333333333336</v>
      </c>
      <c r="I78" s="5"/>
      <c r="J78" s="5"/>
      <c r="K78" s="6">
        <v>70</v>
      </c>
      <c r="L78" s="6">
        <v>25</v>
      </c>
      <c r="M78" s="6">
        <f>45*0.7</f>
        <v>31.499999999999996</v>
      </c>
    </row>
    <row r="79" spans="1:14">
      <c r="A79" s="44" t="s">
        <v>135</v>
      </c>
      <c r="B79" s="35">
        <v>44460</v>
      </c>
      <c r="C79" s="35"/>
      <c r="D79" s="35">
        <v>44475</v>
      </c>
      <c r="E79" s="40"/>
      <c r="F79" s="2"/>
      <c r="G79" s="5">
        <v>19.760000000000002</v>
      </c>
      <c r="H79" s="5">
        <f>43/30*15</f>
        <v>21.5</v>
      </c>
      <c r="I79" s="5">
        <v>65</v>
      </c>
      <c r="J79" s="5"/>
      <c r="K79" s="6">
        <v>90</v>
      </c>
      <c r="L79" s="6">
        <v>43</v>
      </c>
      <c r="M79" s="6">
        <f>(K79-L79)*0.7</f>
        <v>32.9</v>
      </c>
    </row>
    <row r="80" spans="1:14">
      <c r="A80" s="44" t="s">
        <v>141</v>
      </c>
      <c r="B80" s="35">
        <v>44459</v>
      </c>
      <c r="C80" s="35"/>
      <c r="D80" s="35">
        <v>44481</v>
      </c>
      <c r="E80" s="10" t="s">
        <v>161</v>
      </c>
      <c r="F80" s="12">
        <v>10</v>
      </c>
      <c r="G80" s="5">
        <v>15.15</v>
      </c>
      <c r="H80" s="5">
        <f>46/30*22</f>
        <v>33.733333333333334</v>
      </c>
      <c r="I80" s="5">
        <v>80</v>
      </c>
      <c r="J80" s="5"/>
      <c r="K80" s="6">
        <v>120</v>
      </c>
      <c r="L80" s="6">
        <v>46</v>
      </c>
      <c r="M80" s="6">
        <f>10+(120-56)*0.7</f>
        <v>54.8</v>
      </c>
    </row>
    <row r="81" spans="1:13">
      <c r="A81" s="44" t="s">
        <v>140</v>
      </c>
      <c r="B81" s="35">
        <v>44449</v>
      </c>
      <c r="C81" s="35"/>
      <c r="D81" s="35">
        <v>44482</v>
      </c>
      <c r="E81" s="5" t="s">
        <v>160</v>
      </c>
      <c r="F81" s="49">
        <v>10</v>
      </c>
      <c r="G81" s="5">
        <v>13.4</v>
      </c>
      <c r="H81" s="5">
        <f>60/30*33</f>
        <v>66</v>
      </c>
      <c r="I81" s="5">
        <v>80</v>
      </c>
      <c r="J81" s="5"/>
      <c r="K81" s="6">
        <v>120</v>
      </c>
      <c r="L81" s="6">
        <v>61</v>
      </c>
      <c r="M81" s="6">
        <f>(10+49*0.7)</f>
        <v>44.3</v>
      </c>
    </row>
    <row r="82" spans="1:13">
      <c r="A82" s="44" t="s">
        <v>137</v>
      </c>
      <c r="B82" s="35">
        <v>44474</v>
      </c>
      <c r="C82" s="35"/>
      <c r="D82" s="35">
        <v>44487</v>
      </c>
      <c r="E82" s="10" t="s">
        <v>161</v>
      </c>
      <c r="F82" s="12">
        <v>12.5</v>
      </c>
      <c r="G82" s="5">
        <v>15.15</v>
      </c>
      <c r="H82" s="5">
        <f>71/30*13</f>
        <v>30.766666666666666</v>
      </c>
      <c r="I82" s="5">
        <v>95</v>
      </c>
      <c r="J82" s="5"/>
      <c r="K82" s="6">
        <v>140</v>
      </c>
      <c r="L82" s="6">
        <v>71</v>
      </c>
      <c r="M82" s="6">
        <f>12.5+(56.5)*0.7</f>
        <v>52.05</v>
      </c>
    </row>
    <row r="83" spans="1:13">
      <c r="A83" s="44" t="s">
        <v>143</v>
      </c>
      <c r="B83" s="35">
        <v>43717</v>
      </c>
      <c r="C83" s="35"/>
      <c r="D83" s="35">
        <v>44505</v>
      </c>
      <c r="E83" s="40"/>
      <c r="F83" s="49"/>
      <c r="G83" s="5">
        <v>13.4</v>
      </c>
      <c r="H83" s="5">
        <f>36*25+36/30*26</f>
        <v>931.2</v>
      </c>
      <c r="I83" s="5"/>
      <c r="J83" s="5"/>
      <c r="K83" s="6">
        <v>100</v>
      </c>
      <c r="L83" s="6">
        <v>36</v>
      </c>
      <c r="M83" s="6">
        <f>(100-36)*0.7</f>
        <v>44.8</v>
      </c>
    </row>
    <row r="84" spans="1:13">
      <c r="A84" s="44" t="s">
        <v>139</v>
      </c>
      <c r="B84" s="35">
        <v>44492</v>
      </c>
      <c r="C84" s="35"/>
      <c r="D84" s="35">
        <v>44539</v>
      </c>
      <c r="E84" s="40"/>
      <c r="F84" s="49"/>
      <c r="G84" s="5">
        <v>16.350000000000001</v>
      </c>
      <c r="H84" s="5">
        <f>71/30*46</f>
        <v>108.86666666666667</v>
      </c>
      <c r="I84" s="5">
        <v>95</v>
      </c>
      <c r="J84" s="5"/>
      <c r="K84" s="6">
        <v>140</v>
      </c>
      <c r="L84" s="6">
        <v>71</v>
      </c>
      <c r="M84" s="6">
        <f>(140-71)*0.7/30*21</f>
        <v>33.809999999999995</v>
      </c>
    </row>
    <row r="85" spans="1:13">
      <c r="A85" s="44" t="s">
        <v>144</v>
      </c>
      <c r="B85" s="35">
        <v>44526</v>
      </c>
      <c r="C85" s="35"/>
      <c r="D85" s="35">
        <v>44550</v>
      </c>
      <c r="E85" s="5" t="s">
        <v>160</v>
      </c>
      <c r="F85" s="49">
        <v>12.5</v>
      </c>
      <c r="G85" s="5">
        <v>13.4</v>
      </c>
      <c r="H85" s="5">
        <f>83/30*24</f>
        <v>66.400000000000006</v>
      </c>
      <c r="I85" s="5"/>
      <c r="J85" s="5"/>
      <c r="K85" s="6">
        <v>160</v>
      </c>
      <c r="L85" s="6">
        <v>94</v>
      </c>
      <c r="M85" s="6">
        <f>15+(160-15-94)*0.7/30*10</f>
        <v>26.9</v>
      </c>
    </row>
    <row r="86" spans="1:13">
      <c r="A86" s="44" t="s">
        <v>149</v>
      </c>
      <c r="B86" s="35">
        <v>44880</v>
      </c>
      <c r="C86" s="35"/>
      <c r="D86" s="35">
        <v>44575</v>
      </c>
      <c r="E86" s="40"/>
      <c r="F86" s="49"/>
      <c r="G86" s="5">
        <v>13.4</v>
      </c>
      <c r="H86" s="5"/>
      <c r="I86" s="5">
        <v>50</v>
      </c>
      <c r="J86" s="5"/>
      <c r="K86" s="6">
        <v>140</v>
      </c>
      <c r="L86" s="6">
        <f>71</f>
        <v>71</v>
      </c>
      <c r="M86" s="6">
        <f>(140-71)*0.7</f>
        <v>48.3</v>
      </c>
    </row>
    <row r="87" spans="1:13">
      <c r="A87" s="44" t="s">
        <v>146</v>
      </c>
      <c r="B87" s="4">
        <v>44586</v>
      </c>
      <c r="C87" s="4"/>
      <c r="D87" s="4">
        <v>44615</v>
      </c>
      <c r="E87" s="10" t="s">
        <v>161</v>
      </c>
      <c r="F87" s="12">
        <v>12.5</v>
      </c>
      <c r="G87" s="5">
        <v>15.46</v>
      </c>
      <c r="H87" s="5">
        <f>27/30*28</f>
        <v>25.2</v>
      </c>
      <c r="I87" s="5">
        <v>110</v>
      </c>
      <c r="J87" s="5"/>
      <c r="K87" s="6">
        <v>124</v>
      </c>
      <c r="L87" s="6">
        <v>51</v>
      </c>
      <c r="M87" s="6">
        <f>12.5+(124-63.5)*0.7</f>
        <v>54.849999999999994</v>
      </c>
    </row>
    <row r="88" spans="1:13">
      <c r="A88" s="44" t="s">
        <v>148</v>
      </c>
      <c r="B88" s="4">
        <v>44579</v>
      </c>
      <c r="C88" s="4"/>
      <c r="D88" s="4">
        <v>44594</v>
      </c>
      <c r="E88" s="40"/>
      <c r="F88" s="49"/>
      <c r="G88" s="5">
        <v>13.4</v>
      </c>
      <c r="H88" s="5">
        <f>22/30*14</f>
        <v>10.266666666666666</v>
      </c>
      <c r="I88" s="5">
        <v>30</v>
      </c>
      <c r="J88" s="5"/>
      <c r="K88" s="6">
        <v>50</v>
      </c>
      <c r="L88" s="6">
        <v>22</v>
      </c>
      <c r="M88" s="6">
        <f>(50-22)*0.7</f>
        <v>19.599999999999998</v>
      </c>
    </row>
    <row r="89" spans="1:13">
      <c r="A89" s="44" t="s">
        <v>150</v>
      </c>
      <c r="B89" s="4">
        <v>44899</v>
      </c>
      <c r="C89" s="4"/>
      <c r="D89" s="4">
        <v>44607</v>
      </c>
      <c r="E89" s="12" t="s">
        <v>160</v>
      </c>
      <c r="F89" s="12">
        <v>12.5</v>
      </c>
      <c r="G89" s="5">
        <v>13.4</v>
      </c>
      <c r="H89" s="5">
        <f>71/30*61</f>
        <v>144.36666666666667</v>
      </c>
      <c r="I89" s="5">
        <v>80</v>
      </c>
      <c r="J89" s="5"/>
      <c r="K89" s="6">
        <v>120</v>
      </c>
      <c r="L89" s="6">
        <v>60</v>
      </c>
      <c r="M89" s="6">
        <f>12.5+(120-72.5)*0.7</f>
        <v>45.75</v>
      </c>
    </row>
    <row r="90" spans="1:13">
      <c r="A90" s="44" t="s">
        <v>151</v>
      </c>
      <c r="B90" s="4">
        <v>44926</v>
      </c>
      <c r="C90" s="4"/>
      <c r="D90" s="4">
        <v>44649</v>
      </c>
      <c r="E90" s="40"/>
      <c r="F90" s="40"/>
      <c r="G90" s="5">
        <v>9.0299999999999994</v>
      </c>
      <c r="H90" s="5">
        <f>25*2+25/30*29</f>
        <v>74.166666666666671</v>
      </c>
      <c r="I90" s="5">
        <v>80</v>
      </c>
      <c r="J90" s="5"/>
      <c r="K90" s="6">
        <v>67.5</v>
      </c>
      <c r="L90" s="6">
        <v>25</v>
      </c>
      <c r="M90" s="6">
        <f>(67.5-25)*0.7</f>
        <v>29.749999999999996</v>
      </c>
    </row>
    <row r="91" spans="1:13">
      <c r="A91" s="44" t="s">
        <v>152</v>
      </c>
      <c r="B91" s="4">
        <v>44852</v>
      </c>
      <c r="C91" s="4"/>
      <c r="D91" s="4">
        <v>44649</v>
      </c>
      <c r="E91" s="40"/>
      <c r="F91" s="40"/>
      <c r="G91" s="5">
        <v>9.0299999999999994</v>
      </c>
      <c r="H91" s="5">
        <f>45*4+45/30*13</f>
        <v>199.5</v>
      </c>
      <c r="I91" s="5">
        <v>80</v>
      </c>
      <c r="J91" s="5"/>
      <c r="K91" s="6">
        <v>67.5</v>
      </c>
      <c r="L91" s="6">
        <v>45</v>
      </c>
      <c r="M91" s="6">
        <f>(K91-L91)*0.7</f>
        <v>15.749999999999998</v>
      </c>
    </row>
    <row r="92" spans="1:13">
      <c r="A92" s="44" t="s">
        <v>153</v>
      </c>
      <c r="B92" s="4">
        <v>44623</v>
      </c>
      <c r="C92" s="4"/>
      <c r="D92" s="4">
        <v>44623</v>
      </c>
      <c r="E92" s="40"/>
      <c r="F92" s="40"/>
      <c r="G92" s="5">
        <v>11.03</v>
      </c>
      <c r="H92" s="5">
        <v>0</v>
      </c>
      <c r="I92" s="5">
        <v>15</v>
      </c>
      <c r="J92" s="5"/>
      <c r="K92" s="6">
        <v>30</v>
      </c>
      <c r="L92" s="6">
        <v>12</v>
      </c>
      <c r="M92" s="6">
        <f>(K92-L92)*0.7</f>
        <v>12.6</v>
      </c>
    </row>
    <row r="93" spans="1:13">
      <c r="A93" s="44" t="s">
        <v>154</v>
      </c>
      <c r="B93" s="4">
        <v>44881</v>
      </c>
      <c r="C93" s="4"/>
      <c r="D93" s="4">
        <v>44628</v>
      </c>
      <c r="E93" s="40"/>
      <c r="F93" s="40"/>
      <c r="G93" s="5">
        <v>9.0299999999999994</v>
      </c>
      <c r="H93" s="5">
        <f>65*3+65/30*22</f>
        <v>242.66666666666666</v>
      </c>
      <c r="I93" s="5">
        <v>95</v>
      </c>
      <c r="J93" s="5"/>
      <c r="K93" s="6">
        <v>112</v>
      </c>
      <c r="L93" s="6">
        <v>65</v>
      </c>
      <c r="M93" s="6">
        <f>(K93-L93)*0.7</f>
        <v>32.9</v>
      </c>
    </row>
    <row r="94" spans="1:13">
      <c r="A94" s="44" t="s">
        <v>155</v>
      </c>
      <c r="B94" s="4">
        <v>44490</v>
      </c>
      <c r="C94" s="4"/>
      <c r="D94" s="4">
        <v>44648</v>
      </c>
      <c r="E94" s="40"/>
      <c r="F94" s="40"/>
      <c r="G94" s="5">
        <v>13.4</v>
      </c>
      <c r="H94" s="5">
        <f>45*5+45/30*7</f>
        <v>235.5</v>
      </c>
      <c r="I94" s="5">
        <v>80</v>
      </c>
      <c r="J94" s="5"/>
      <c r="K94" s="6">
        <v>67.5</v>
      </c>
      <c r="L94" s="6">
        <v>45</v>
      </c>
      <c r="M94" s="6">
        <f>(K94-L94)*0.7</f>
        <v>15.749999999999998</v>
      </c>
    </row>
    <row r="95" spans="1:13">
      <c r="A95" s="52" t="s">
        <v>156</v>
      </c>
      <c r="B95" s="24">
        <v>44489</v>
      </c>
      <c r="C95" s="24"/>
      <c r="D95" s="24">
        <v>44651</v>
      </c>
      <c r="E95" s="48"/>
      <c r="F95" s="48"/>
      <c r="G95" s="25">
        <v>15.46</v>
      </c>
      <c r="H95" s="25">
        <f>50*5+50/10</f>
        <v>255</v>
      </c>
      <c r="I95" s="25">
        <v>145</v>
      </c>
      <c r="J95" s="25"/>
      <c r="K95" s="27">
        <v>125</v>
      </c>
      <c r="L95" s="27">
        <v>50</v>
      </c>
      <c r="M95" s="27">
        <f>(K95-L95)*0.7</f>
        <v>52.5</v>
      </c>
    </row>
    <row r="96" spans="1:13">
      <c r="A96" s="52" t="s">
        <v>157</v>
      </c>
      <c r="B96" s="24">
        <v>44627</v>
      </c>
      <c r="C96" s="24"/>
      <c r="D96" s="24">
        <v>44627</v>
      </c>
      <c r="E96" s="10" t="s">
        <v>161</v>
      </c>
      <c r="F96" s="12">
        <v>10</v>
      </c>
      <c r="G96" s="25">
        <v>15.46</v>
      </c>
      <c r="H96" s="25">
        <v>0</v>
      </c>
      <c r="I96" s="25">
        <v>0</v>
      </c>
      <c r="J96" s="25"/>
      <c r="K96" s="27">
        <v>100</v>
      </c>
      <c r="L96" s="27">
        <v>44</v>
      </c>
      <c r="M96" s="27">
        <f>10+(46)*0.7</f>
        <v>42.199999999999996</v>
      </c>
    </row>
    <row r="97" spans="1:13">
      <c r="A97" s="52" t="s">
        <v>158</v>
      </c>
      <c r="B97" s="24">
        <v>44627</v>
      </c>
      <c r="C97" s="24"/>
      <c r="D97" s="24">
        <v>44627</v>
      </c>
      <c r="E97" s="38" t="s">
        <v>161</v>
      </c>
      <c r="F97" s="54">
        <v>12.5</v>
      </c>
      <c r="G97" s="25">
        <v>15.46</v>
      </c>
      <c r="H97" s="25">
        <v>0</v>
      </c>
      <c r="I97" s="25">
        <v>0</v>
      </c>
      <c r="J97" s="25"/>
      <c r="K97" s="27">
        <v>125</v>
      </c>
      <c r="L97" s="27">
        <v>55</v>
      </c>
      <c r="M97" s="27">
        <f>12.5+(57.5)*0.7</f>
        <v>52.75</v>
      </c>
    </row>
    <row r="98" spans="1:13">
      <c r="A98" s="44" t="s">
        <v>168</v>
      </c>
      <c r="B98" s="4">
        <v>44636</v>
      </c>
      <c r="C98" s="4"/>
      <c r="D98" s="4">
        <v>44659</v>
      </c>
      <c r="E98" s="40"/>
      <c r="F98" s="5"/>
      <c r="G98" s="5">
        <v>13.72</v>
      </c>
      <c r="H98" s="5">
        <f>55/30*24</f>
        <v>44</v>
      </c>
      <c r="I98" s="5">
        <v>80</v>
      </c>
      <c r="J98" s="5"/>
      <c r="K98" s="6">
        <v>120</v>
      </c>
      <c r="L98" s="6">
        <v>55</v>
      </c>
      <c r="M98" s="6">
        <f>10+(110-L98)*0.7</f>
        <v>48.5</v>
      </c>
    </row>
    <row r="99" spans="1:13">
      <c r="A99" s="44" t="s">
        <v>171</v>
      </c>
      <c r="B99" s="4">
        <v>44648</v>
      </c>
      <c r="C99" s="4"/>
      <c r="D99" s="4">
        <v>44734</v>
      </c>
      <c r="E99" s="40"/>
      <c r="F99" s="5"/>
      <c r="G99" s="5">
        <v>13.72</v>
      </c>
      <c r="H99" s="5">
        <f>56/30*84</f>
        <v>156.80000000000001</v>
      </c>
      <c r="I99" s="5">
        <v>95</v>
      </c>
      <c r="J99" s="5"/>
      <c r="K99" s="6">
        <v>140</v>
      </c>
      <c r="L99" s="6">
        <v>56</v>
      </c>
      <c r="M99" s="6">
        <f>(140-56)*0.7</f>
        <v>58.8</v>
      </c>
    </row>
    <row r="100" spans="1:13">
      <c r="A100" s="44" t="s">
        <v>172</v>
      </c>
      <c r="B100" s="4">
        <v>44705</v>
      </c>
      <c r="C100" s="4"/>
      <c r="D100" s="4">
        <v>44715</v>
      </c>
      <c r="E100" s="40"/>
      <c r="F100" s="5"/>
      <c r="G100" s="5">
        <v>10.039999999999999</v>
      </c>
      <c r="H100" s="5">
        <f>25/30*9</f>
        <v>7.5</v>
      </c>
      <c r="I100" s="5"/>
      <c r="J100" s="5"/>
      <c r="K100" s="6">
        <v>50</v>
      </c>
      <c r="L100" s="6">
        <v>25</v>
      </c>
      <c r="M100" s="6">
        <f>(50-25)*0.7</f>
        <v>17.5</v>
      </c>
    </row>
    <row r="101" spans="1:13">
      <c r="A101" s="44" t="s">
        <v>173</v>
      </c>
      <c r="B101" s="4">
        <v>44704</v>
      </c>
      <c r="C101" s="4"/>
      <c r="D101" s="4">
        <v>44721</v>
      </c>
      <c r="E101" s="10" t="s">
        <v>161</v>
      </c>
      <c r="F101" s="56">
        <v>12.5</v>
      </c>
      <c r="G101" s="5">
        <v>13.72</v>
      </c>
      <c r="H101" s="5">
        <f>37/30*16</f>
        <v>19.733333333333334</v>
      </c>
      <c r="I101" s="5">
        <f>50+45</f>
        <v>95</v>
      </c>
      <c r="J101" s="5"/>
      <c r="K101" s="6">
        <v>110</v>
      </c>
      <c r="L101" s="6">
        <v>37</v>
      </c>
      <c r="M101" s="56">
        <f>12.5+(97.5-37)*0.7</f>
        <v>54.849999999999994</v>
      </c>
    </row>
    <row r="102" spans="1:13">
      <c r="A102" s="44" t="s">
        <v>174</v>
      </c>
      <c r="B102" s="4">
        <v>44715</v>
      </c>
      <c r="C102" s="4"/>
      <c r="D102" s="4">
        <v>44820</v>
      </c>
      <c r="E102" s="10" t="s">
        <v>161</v>
      </c>
      <c r="F102" s="56">
        <v>15</v>
      </c>
      <c r="G102" s="5">
        <v>14.6</v>
      </c>
      <c r="H102" s="5">
        <f>56/30*103</f>
        <v>192.26666666666668</v>
      </c>
      <c r="I102" s="5">
        <v>50</v>
      </c>
      <c r="J102" s="5"/>
      <c r="K102" s="6">
        <f>130</f>
        <v>130</v>
      </c>
      <c r="L102" s="6">
        <v>56</v>
      </c>
      <c r="M102" s="56">
        <f>(117.5-56)*0.7+15</f>
        <v>58.05</v>
      </c>
    </row>
    <row r="103" spans="1:13">
      <c r="A103" s="10" t="s">
        <v>183</v>
      </c>
      <c r="B103" s="4">
        <v>44749</v>
      </c>
      <c r="C103" s="4">
        <v>44830</v>
      </c>
      <c r="D103" s="4">
        <v>44858</v>
      </c>
      <c r="E103" s="40"/>
      <c r="F103" s="5"/>
      <c r="G103" s="5">
        <v>11.03</v>
      </c>
      <c r="H103" s="5">
        <v>25</v>
      </c>
      <c r="I103" s="5">
        <v>15</v>
      </c>
      <c r="J103" s="5"/>
      <c r="K103" s="6">
        <v>80</v>
      </c>
      <c r="L103" s="6">
        <v>25</v>
      </c>
      <c r="M103" s="6">
        <f>55*0.7/30*6</f>
        <v>7.7000000000000011</v>
      </c>
    </row>
    <row r="104" spans="1:13">
      <c r="A104" s="10" t="s">
        <v>184</v>
      </c>
      <c r="B104" s="4">
        <v>44775</v>
      </c>
      <c r="C104" s="4">
        <v>44810</v>
      </c>
      <c r="D104" s="4">
        <v>44848</v>
      </c>
      <c r="E104" s="40"/>
      <c r="F104" s="5"/>
      <c r="G104" s="5">
        <v>23.38</v>
      </c>
      <c r="H104" s="5">
        <f>100/30*38</f>
        <v>126.66666666666667</v>
      </c>
      <c r="I104" s="5">
        <v>155</v>
      </c>
      <c r="J104" s="5"/>
      <c r="K104" s="6">
        <v>220</v>
      </c>
      <c r="L104" s="6">
        <v>100</v>
      </c>
      <c r="M104" s="6" t="str">
        <f>A101</f>
        <v>EURL BRAULT</v>
      </c>
    </row>
    <row r="105" spans="1:13">
      <c r="A105" s="10" t="s">
        <v>185</v>
      </c>
      <c r="B105" s="4">
        <v>44830</v>
      </c>
      <c r="C105" s="4">
        <v>44852</v>
      </c>
      <c r="D105" s="4">
        <v>44858</v>
      </c>
      <c r="E105" s="10" t="s">
        <v>161</v>
      </c>
      <c r="F105" s="12">
        <v>12.5</v>
      </c>
      <c r="G105" s="5">
        <v>23.38</v>
      </c>
      <c r="H105" s="5">
        <f>54.5/30*6</f>
        <v>10.9</v>
      </c>
      <c r="I105" s="5">
        <v>95</v>
      </c>
      <c r="J105" s="5"/>
      <c r="K105" s="6">
        <v>140</v>
      </c>
      <c r="L105" s="6">
        <v>54.5</v>
      </c>
      <c r="M105" s="6">
        <f>12.5/30*6+(127.5-54.5)*0.7/30*6</f>
        <v>12.719999999999999</v>
      </c>
    </row>
    <row r="106" spans="1:13">
      <c r="A106" s="28"/>
      <c r="B106" s="36"/>
      <c r="C106" s="36"/>
      <c r="D106" s="36"/>
      <c r="E106" s="28"/>
      <c r="F106" s="28"/>
      <c r="G106" s="30"/>
      <c r="H106" s="28"/>
      <c r="I106" s="30"/>
      <c r="L106" s="8" t="s">
        <v>4</v>
      </c>
      <c r="M106" s="8">
        <f>SUM(M2:M105)</f>
        <v>3774.4800000000009</v>
      </c>
    </row>
    <row r="107" spans="1:13">
      <c r="A107" s="28"/>
      <c r="D107" s="15"/>
      <c r="E107" s="1"/>
      <c r="F107" s="1"/>
      <c r="G107" s="1"/>
      <c r="H107" s="1"/>
      <c r="I107" s="1"/>
      <c r="J107" s="1"/>
      <c r="K107" s="1"/>
      <c r="L107" s="29"/>
      <c r="M107" s="29"/>
    </row>
    <row r="109" spans="1:13">
      <c r="G109" s="30"/>
      <c r="K109" t="s">
        <v>180</v>
      </c>
    </row>
    <row r="110" spans="1:13">
      <c r="H110" s="42"/>
      <c r="K110" t="s">
        <v>178</v>
      </c>
    </row>
    <row r="111" spans="1:13">
      <c r="K111" t="s">
        <v>199</v>
      </c>
    </row>
  </sheetData>
  <autoFilter ref="A1:O1">
    <sortState ref="A2:N104">
      <sortCondition ref="D1"/>
    </sortState>
  </autoFilter>
  <pageMargins left="0.7" right="0.7" top="0.75" bottom="0.75" header="0.3" footer="0.3"/>
  <pageSetup paperSize="9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>
  <dimension ref="A1:P122"/>
  <sheetViews>
    <sheetView topLeftCell="C85" workbookViewId="0">
      <selection activeCell="N96" sqref="N96"/>
    </sheetView>
  </sheetViews>
  <sheetFormatPr baseColWidth="10" defaultRowHeight="15"/>
  <cols>
    <col min="1" max="1" width="26.5703125" customWidth="1"/>
    <col min="2" max="2" width="11.140625" customWidth="1"/>
    <col min="3" max="3" width="22.85546875" customWidth="1"/>
    <col min="4" max="4" width="13.5703125" customWidth="1"/>
  </cols>
  <sheetData>
    <row r="1" spans="1:15" ht="60">
      <c r="A1" s="2"/>
      <c r="B1" s="2"/>
      <c r="C1" s="3" t="s">
        <v>0</v>
      </c>
      <c r="D1" s="3"/>
      <c r="E1" s="3" t="s">
        <v>1</v>
      </c>
      <c r="F1" s="3" t="s">
        <v>159</v>
      </c>
      <c r="G1" s="3" t="s">
        <v>162</v>
      </c>
      <c r="H1" s="3" t="s">
        <v>3</v>
      </c>
      <c r="I1" s="3" t="s">
        <v>11</v>
      </c>
      <c r="J1" s="3" t="s">
        <v>36</v>
      </c>
      <c r="K1" s="3" t="s">
        <v>12</v>
      </c>
      <c r="L1" s="3" t="s">
        <v>5</v>
      </c>
      <c r="M1" s="3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5"/>
      <c r="J2" s="5"/>
      <c r="K2" s="5">
        <f>F2+H2+J2</f>
        <v>10</v>
      </c>
      <c r="L2" s="6">
        <v>40</v>
      </c>
      <c r="M2" s="6">
        <v>25</v>
      </c>
      <c r="N2" s="6">
        <f t="shared" ref="N2:N51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5"/>
      <c r="J3" s="5"/>
      <c r="K3" s="5"/>
      <c r="L3" s="6">
        <v>90</v>
      </c>
      <c r="M3" s="6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5">
        <f>25/30*3</f>
        <v>2.5</v>
      </c>
      <c r="J4" s="5"/>
      <c r="K4" s="5">
        <f>F4+H4+J4</f>
        <v>50</v>
      </c>
      <c r="L4" s="6">
        <v>40</v>
      </c>
      <c r="M4" s="6">
        <v>25</v>
      </c>
      <c r="N4" s="6">
        <f t="shared" si="0"/>
        <v>10.5</v>
      </c>
    </row>
    <row r="5" spans="1:15">
      <c r="A5" s="2" t="s">
        <v>18</v>
      </c>
      <c r="B5" s="2"/>
      <c r="C5" s="2"/>
      <c r="D5" s="2"/>
      <c r="E5" s="4">
        <v>42335</v>
      </c>
      <c r="F5" s="5"/>
      <c r="G5" s="49"/>
      <c r="H5" s="5"/>
      <c r="I5" s="5"/>
      <c r="J5" s="5"/>
      <c r="K5" s="5"/>
      <c r="L5" s="6">
        <v>90</v>
      </c>
      <c r="M5" s="6">
        <v>25</v>
      </c>
      <c r="N5" s="6">
        <f t="shared" si="0"/>
        <v>45.5</v>
      </c>
    </row>
    <row r="6" spans="1:15">
      <c r="A6" s="2" t="s">
        <v>16</v>
      </c>
      <c r="B6" s="2"/>
      <c r="C6" s="2"/>
      <c r="D6" s="2"/>
      <c r="E6" s="4">
        <v>42396</v>
      </c>
      <c r="F6" s="5"/>
      <c r="G6" s="49"/>
      <c r="H6" s="5"/>
      <c r="I6" s="5"/>
      <c r="J6" s="5"/>
      <c r="K6" s="5"/>
      <c r="L6" s="6">
        <v>90</v>
      </c>
      <c r="M6" s="6">
        <v>25</v>
      </c>
      <c r="N6" s="6">
        <f t="shared" si="0"/>
        <v>45.5</v>
      </c>
    </row>
    <row r="7" spans="1:15">
      <c r="A7" s="2" t="s">
        <v>22</v>
      </c>
      <c r="B7" s="2"/>
      <c r="C7" s="4">
        <v>42546</v>
      </c>
      <c r="D7" s="4"/>
      <c r="E7" s="4">
        <v>42571</v>
      </c>
      <c r="F7" s="5"/>
      <c r="G7" s="49"/>
      <c r="H7" s="5">
        <f>6.9+8.5</f>
        <v>15.4</v>
      </c>
      <c r="I7" s="5">
        <f>25*25/30</f>
        <v>20.833333333333332</v>
      </c>
      <c r="J7" s="5"/>
      <c r="K7" s="5"/>
      <c r="L7" s="6">
        <v>120</v>
      </c>
      <c r="M7" s="6">
        <v>25</v>
      </c>
      <c r="N7" s="6">
        <f t="shared" si="0"/>
        <v>66.5</v>
      </c>
    </row>
    <row r="8" spans="1:15">
      <c r="A8" s="2" t="s">
        <v>23</v>
      </c>
      <c r="B8" s="2"/>
      <c r="C8" s="4">
        <v>42560</v>
      </c>
      <c r="D8" s="4"/>
      <c r="E8" s="4">
        <v>42571</v>
      </c>
      <c r="F8" s="5"/>
      <c r="G8" s="49"/>
      <c r="H8" s="5">
        <v>8.5</v>
      </c>
      <c r="I8" s="5">
        <f>25*41/30</f>
        <v>34.166666666666664</v>
      </c>
      <c r="J8" s="5"/>
      <c r="K8" s="5"/>
      <c r="L8" s="6">
        <v>107.5</v>
      </c>
      <c r="M8" s="6">
        <v>25</v>
      </c>
      <c r="N8" s="6">
        <f t="shared" si="0"/>
        <v>57.749999999999993</v>
      </c>
    </row>
    <row r="9" spans="1:15">
      <c r="A9" s="2" t="s">
        <v>24</v>
      </c>
      <c r="B9" s="2"/>
      <c r="C9" s="4">
        <v>42530</v>
      </c>
      <c r="D9" s="4"/>
      <c r="E9" s="4">
        <v>42579</v>
      </c>
      <c r="F9" s="5"/>
      <c r="G9" s="49"/>
      <c r="H9" s="5">
        <f>8.5+6.9</f>
        <v>15.4</v>
      </c>
      <c r="I9" s="5">
        <f>25*52/30</f>
        <v>43.333333333333336</v>
      </c>
      <c r="J9" s="5"/>
      <c r="K9" s="5"/>
      <c r="L9" s="6">
        <v>90</v>
      </c>
      <c r="M9" s="6">
        <v>25</v>
      </c>
      <c r="N9" s="6">
        <f t="shared" si="0"/>
        <v>45.5</v>
      </c>
    </row>
    <row r="10" spans="1:15">
      <c r="A10" s="2" t="s">
        <v>26</v>
      </c>
      <c r="B10" s="2"/>
      <c r="C10" s="4">
        <v>42633</v>
      </c>
      <c r="D10" s="4"/>
      <c r="E10" s="4">
        <v>42644</v>
      </c>
      <c r="F10" s="5"/>
      <c r="G10" s="49"/>
      <c r="H10" s="5">
        <v>8.17</v>
      </c>
      <c r="I10" s="5">
        <f>25/30*10</f>
        <v>8.3333333333333339</v>
      </c>
      <c r="J10" s="5"/>
      <c r="K10" s="5"/>
      <c r="L10" s="6">
        <v>70</v>
      </c>
      <c r="M10" s="6">
        <v>25</v>
      </c>
      <c r="N10" s="6">
        <f t="shared" si="0"/>
        <v>31.499999999999996</v>
      </c>
    </row>
    <row r="11" spans="1:15">
      <c r="A11" s="2" t="s">
        <v>27</v>
      </c>
      <c r="B11" s="2"/>
      <c r="C11" s="4">
        <v>42656</v>
      </c>
      <c r="D11" s="4"/>
      <c r="E11" s="4">
        <v>42705</v>
      </c>
      <c r="F11" s="5"/>
      <c r="G11" s="49"/>
      <c r="H11" s="5">
        <v>8.17</v>
      </c>
      <c r="I11" s="5">
        <f>M11/30*47</f>
        <v>39.166666666666671</v>
      </c>
      <c r="J11" s="5"/>
      <c r="K11" s="5"/>
      <c r="L11" s="6">
        <v>40</v>
      </c>
      <c r="M11" s="6">
        <v>25</v>
      </c>
      <c r="N11" s="6">
        <f t="shared" si="0"/>
        <v>10.5</v>
      </c>
    </row>
    <row r="12" spans="1:15">
      <c r="A12" s="2" t="s">
        <v>29</v>
      </c>
      <c r="B12" s="2"/>
      <c r="C12" s="4">
        <v>42683</v>
      </c>
      <c r="D12" s="4"/>
      <c r="E12" s="4">
        <v>42718</v>
      </c>
      <c r="F12" s="5"/>
      <c r="G12" s="49"/>
      <c r="H12" s="5">
        <v>8.9700000000000006</v>
      </c>
      <c r="I12" s="5">
        <f>M12/30*35</f>
        <v>42</v>
      </c>
      <c r="J12" s="5"/>
      <c r="K12" s="5"/>
      <c r="L12" s="6">
        <f>105</f>
        <v>105</v>
      </c>
      <c r="M12" s="6">
        <v>36</v>
      </c>
      <c r="N12" s="6">
        <f t="shared" si="0"/>
        <v>48.3</v>
      </c>
    </row>
    <row r="13" spans="1:15">
      <c r="A13" s="2" t="s">
        <v>28</v>
      </c>
      <c r="B13" s="2"/>
      <c r="C13" s="4">
        <v>42711</v>
      </c>
      <c r="D13" s="4"/>
      <c r="E13" s="4">
        <v>42734</v>
      </c>
      <c r="F13" s="5"/>
      <c r="G13" s="49"/>
      <c r="H13" s="5">
        <v>8.17</v>
      </c>
      <c r="I13" s="5">
        <f>M13/30*23</f>
        <v>19.166666666666668</v>
      </c>
      <c r="J13" s="5"/>
      <c r="K13" s="5"/>
      <c r="L13" s="6">
        <v>40</v>
      </c>
      <c r="M13" s="6">
        <v>25</v>
      </c>
      <c r="N13" s="6">
        <f t="shared" si="0"/>
        <v>10.5</v>
      </c>
    </row>
    <row r="14" spans="1:15">
      <c r="A14" s="2" t="s">
        <v>30</v>
      </c>
      <c r="B14" s="2"/>
      <c r="C14" s="4">
        <v>42732</v>
      </c>
      <c r="D14" s="4"/>
      <c r="E14" s="4">
        <v>42759</v>
      </c>
      <c r="F14" s="5"/>
      <c r="G14" s="49"/>
      <c r="H14" s="5">
        <v>18.8</v>
      </c>
      <c r="I14" s="5">
        <f>M14/30*27</f>
        <v>23.400000000000002</v>
      </c>
      <c r="J14" s="5"/>
      <c r="K14" s="5"/>
      <c r="L14" s="6">
        <v>90</v>
      </c>
      <c r="M14" s="6">
        <v>26</v>
      </c>
      <c r="N14" s="6">
        <f t="shared" si="0"/>
        <v>44.8</v>
      </c>
    </row>
    <row r="15" spans="1:15">
      <c r="A15" s="2" t="s">
        <v>31</v>
      </c>
      <c r="B15" s="2"/>
      <c r="C15" s="4">
        <v>42735</v>
      </c>
      <c r="D15" s="4"/>
      <c r="E15" s="4">
        <v>42782</v>
      </c>
      <c r="F15" s="5">
        <v>50</v>
      </c>
      <c r="G15" s="49"/>
      <c r="H15" s="5">
        <v>20.63</v>
      </c>
      <c r="I15" s="5">
        <f>M15/30*46</f>
        <v>42.933333333333337</v>
      </c>
      <c r="J15" s="5"/>
      <c r="K15" s="5"/>
      <c r="L15" s="6">
        <v>92</v>
      </c>
      <c r="M15" s="6">
        <v>28</v>
      </c>
      <c r="N15" s="6">
        <f t="shared" si="0"/>
        <v>44.8</v>
      </c>
    </row>
    <row r="16" spans="1:15">
      <c r="A16" s="2" t="s">
        <v>32</v>
      </c>
      <c r="B16" s="2"/>
      <c r="C16" s="4">
        <v>42857</v>
      </c>
      <c r="D16" s="4"/>
      <c r="E16" s="4">
        <v>42866</v>
      </c>
      <c r="F16" s="5"/>
      <c r="G16" s="49"/>
      <c r="H16" s="5"/>
      <c r="I16" s="5">
        <f>23/30*9</f>
        <v>6.9</v>
      </c>
      <c r="J16" s="5">
        <f>60*0.7</f>
        <v>42</v>
      </c>
      <c r="K16" s="5"/>
      <c r="L16" s="6">
        <v>60</v>
      </c>
      <c r="M16" s="6">
        <v>23</v>
      </c>
      <c r="N16" s="6">
        <f t="shared" si="0"/>
        <v>25.9</v>
      </c>
    </row>
    <row r="17" spans="1:15">
      <c r="A17" s="2" t="s">
        <v>37</v>
      </c>
      <c r="B17" s="2"/>
      <c r="C17" s="4">
        <v>42891</v>
      </c>
      <c r="D17" s="4"/>
      <c r="E17" s="4">
        <v>42915</v>
      </c>
      <c r="F17" s="5"/>
      <c r="G17" s="49"/>
      <c r="H17" s="5">
        <v>6.83</v>
      </c>
      <c r="I17" s="5">
        <f>24/30*24</f>
        <v>19.200000000000003</v>
      </c>
      <c r="J17" s="5"/>
      <c r="K17" s="5"/>
      <c r="L17" s="6">
        <v>70</v>
      </c>
      <c r="M17" s="6">
        <v>24</v>
      </c>
      <c r="N17" s="6">
        <f t="shared" si="0"/>
        <v>32.199999999999996</v>
      </c>
    </row>
    <row r="18" spans="1:15">
      <c r="A18" s="2" t="s">
        <v>39</v>
      </c>
      <c r="B18" s="2"/>
      <c r="C18" s="4">
        <v>43081</v>
      </c>
      <c r="D18" s="4"/>
      <c r="E18" s="4">
        <v>43109</v>
      </c>
      <c r="F18" s="5"/>
      <c r="G18" s="49"/>
      <c r="H18" s="5">
        <v>9.83</v>
      </c>
      <c r="I18" s="5">
        <f>36/30*28</f>
        <v>33.6</v>
      </c>
      <c r="J18" s="5"/>
      <c r="K18" s="5"/>
      <c r="L18" s="6">
        <v>120</v>
      </c>
      <c r="M18" s="6">
        <v>36</v>
      </c>
      <c r="N18" s="6">
        <f t="shared" si="0"/>
        <v>58.8</v>
      </c>
    </row>
    <row r="19" spans="1:15">
      <c r="A19" s="22" t="s">
        <v>56</v>
      </c>
      <c r="B19" s="22"/>
      <c r="C19" s="4">
        <v>43361</v>
      </c>
      <c r="D19" s="4"/>
      <c r="E19" s="4">
        <v>43132</v>
      </c>
      <c r="F19" s="5"/>
      <c r="G19" s="49"/>
      <c r="H19" s="5">
        <v>14.11</v>
      </c>
      <c r="I19" s="5">
        <f>25*4+25/30*12</f>
        <v>110</v>
      </c>
      <c r="J19" s="5"/>
      <c r="K19" s="5"/>
      <c r="L19" s="6">
        <v>75</v>
      </c>
      <c r="M19" s="6">
        <v>25</v>
      </c>
      <c r="N19" s="6">
        <f t="shared" si="0"/>
        <v>35</v>
      </c>
    </row>
    <row r="20" spans="1:15">
      <c r="A20" s="2" t="s">
        <v>40</v>
      </c>
      <c r="B20" s="2"/>
      <c r="C20" s="4">
        <v>43106</v>
      </c>
      <c r="D20" s="4"/>
      <c r="E20" s="4">
        <v>43146</v>
      </c>
      <c r="F20" s="5"/>
      <c r="G20" s="49"/>
      <c r="H20" s="5">
        <v>8.2899999999999991</v>
      </c>
      <c r="I20" s="5">
        <f>25/30*39</f>
        <v>32.5</v>
      </c>
      <c r="J20" s="5"/>
      <c r="K20" s="5"/>
      <c r="L20" s="6">
        <v>70</v>
      </c>
      <c r="M20" s="6">
        <v>26</v>
      </c>
      <c r="N20" s="6">
        <f t="shared" si="0"/>
        <v>30.799999999999997</v>
      </c>
    </row>
    <row r="21" spans="1:15">
      <c r="A21" s="9" t="s">
        <v>44</v>
      </c>
      <c r="B21" s="9"/>
      <c r="C21" s="4">
        <v>43196</v>
      </c>
      <c r="D21" s="4"/>
      <c r="E21" s="4">
        <v>43250</v>
      </c>
      <c r="F21" s="5"/>
      <c r="G21" s="49"/>
      <c r="H21" s="5">
        <v>13.78</v>
      </c>
      <c r="I21" s="5">
        <f>25*24/30+25</f>
        <v>45</v>
      </c>
      <c r="J21" s="5"/>
      <c r="K21" s="5"/>
      <c r="L21" s="6">
        <f>60</f>
        <v>60</v>
      </c>
      <c r="M21" s="6">
        <v>25</v>
      </c>
      <c r="N21" s="6">
        <f t="shared" si="0"/>
        <v>24.5</v>
      </c>
    </row>
    <row r="22" spans="1:15">
      <c r="A22" s="22" t="s">
        <v>47</v>
      </c>
      <c r="B22" s="22"/>
      <c r="C22" s="4">
        <v>43355</v>
      </c>
      <c r="D22" s="4"/>
      <c r="E22" s="4">
        <v>43277</v>
      </c>
      <c r="F22" s="5"/>
      <c r="G22" s="49"/>
      <c r="H22" s="5">
        <v>19.98</v>
      </c>
      <c r="I22" s="5">
        <f>36*2+36/30*16</f>
        <v>91.2</v>
      </c>
      <c r="J22" s="5"/>
      <c r="K22" s="5"/>
      <c r="L22" s="6">
        <v>105</v>
      </c>
      <c r="M22" s="6">
        <v>36</v>
      </c>
      <c r="N22" s="6">
        <f t="shared" si="0"/>
        <v>48.3</v>
      </c>
    </row>
    <row r="23" spans="1:15">
      <c r="A23" s="22" t="s">
        <v>48</v>
      </c>
      <c r="B23" s="22"/>
      <c r="C23" s="4">
        <v>43367</v>
      </c>
      <c r="D23" s="4"/>
      <c r="E23" s="4">
        <v>43284</v>
      </c>
      <c r="F23" s="5"/>
      <c r="G23" s="49"/>
      <c r="H23" s="5">
        <v>9.1</v>
      </c>
      <c r="I23" s="5">
        <f>25+25/30*27</f>
        <v>47.5</v>
      </c>
      <c r="J23" s="5"/>
      <c r="K23" s="5"/>
      <c r="L23" s="6">
        <v>75</v>
      </c>
      <c r="M23" s="6">
        <v>25</v>
      </c>
      <c r="N23" s="6">
        <f t="shared" si="0"/>
        <v>35</v>
      </c>
    </row>
    <row r="24" spans="1:15">
      <c r="A24" s="2" t="s">
        <v>45</v>
      </c>
      <c r="B24" s="2"/>
      <c r="C24" s="4"/>
      <c r="D24" s="4"/>
      <c r="E24" s="4">
        <v>43286</v>
      </c>
      <c r="F24" s="5"/>
      <c r="G24" s="49"/>
      <c r="H24" s="5">
        <v>11.56</v>
      </c>
      <c r="I24" s="5"/>
      <c r="J24" s="5"/>
      <c r="K24" s="5"/>
      <c r="L24" s="6">
        <v>150</v>
      </c>
      <c r="M24" s="6">
        <v>76</v>
      </c>
      <c r="N24" s="6">
        <f t="shared" si="0"/>
        <v>51.8</v>
      </c>
      <c r="O24" s="20"/>
    </row>
    <row r="25" spans="1:15">
      <c r="A25" s="22" t="s">
        <v>49</v>
      </c>
      <c r="B25" s="22"/>
      <c r="C25" s="4">
        <v>43367</v>
      </c>
      <c r="D25" s="4"/>
      <c r="E25" s="4">
        <v>43291</v>
      </c>
      <c r="F25" s="5"/>
      <c r="G25" s="49"/>
      <c r="H25" s="5">
        <v>10.039999999999999</v>
      </c>
      <c r="I25" s="5">
        <f>50+25/30*14</f>
        <v>61.666666666666671</v>
      </c>
      <c r="J25" s="5"/>
      <c r="K25" s="5"/>
      <c r="L25" s="6">
        <v>70</v>
      </c>
      <c r="M25" s="6">
        <v>25</v>
      </c>
      <c r="N25" s="6">
        <f t="shared" si="0"/>
        <v>31.499999999999996</v>
      </c>
    </row>
    <row r="26" spans="1:15">
      <c r="A26" s="22" t="s">
        <v>51</v>
      </c>
      <c r="B26" s="22"/>
      <c r="C26" s="4">
        <v>43358</v>
      </c>
      <c r="D26" s="4"/>
      <c r="E26" s="4">
        <v>43291</v>
      </c>
      <c r="F26" s="5"/>
      <c r="G26" s="49"/>
      <c r="H26" s="5">
        <v>10.039999999999999</v>
      </c>
      <c r="I26" s="5">
        <f>50+25/30*5</f>
        <v>54.166666666666664</v>
      </c>
      <c r="J26" s="5"/>
      <c r="K26" s="5"/>
      <c r="L26" s="6">
        <v>75</v>
      </c>
      <c r="M26" s="6">
        <v>25</v>
      </c>
      <c r="N26" s="6">
        <f t="shared" si="0"/>
        <v>35</v>
      </c>
    </row>
    <row r="27" spans="1:15">
      <c r="A27" s="22" t="s">
        <v>52</v>
      </c>
      <c r="B27" s="22"/>
      <c r="C27" s="4">
        <v>43367</v>
      </c>
      <c r="D27" s="4"/>
      <c r="E27" s="4">
        <v>43308</v>
      </c>
      <c r="F27" s="5"/>
      <c r="G27" s="49"/>
      <c r="H27" s="5">
        <v>10.86</v>
      </c>
      <c r="I27" s="5">
        <f>25+25/30*27</f>
        <v>47.5</v>
      </c>
      <c r="J27" s="5"/>
      <c r="K27" s="5"/>
      <c r="L27" s="6">
        <v>75</v>
      </c>
      <c r="M27" s="18">
        <v>25</v>
      </c>
      <c r="N27" s="18">
        <f t="shared" si="0"/>
        <v>35</v>
      </c>
    </row>
    <row r="28" spans="1:15">
      <c r="A28" s="22" t="s">
        <v>50</v>
      </c>
      <c r="B28" s="22"/>
      <c r="C28" s="4">
        <v>43367</v>
      </c>
      <c r="D28" s="4"/>
      <c r="E28" s="4">
        <v>43312</v>
      </c>
      <c r="F28" s="5"/>
      <c r="G28" s="49"/>
      <c r="H28" s="5">
        <v>10.86</v>
      </c>
      <c r="I28" s="5">
        <f>25+25/30*24</f>
        <v>45</v>
      </c>
      <c r="J28" s="5"/>
      <c r="K28" s="5"/>
      <c r="L28" s="6">
        <v>70</v>
      </c>
      <c r="M28" s="18">
        <v>25</v>
      </c>
      <c r="N28" s="18">
        <f t="shared" si="0"/>
        <v>31.499999999999996</v>
      </c>
    </row>
    <row r="29" spans="1:15">
      <c r="A29" s="22" t="s">
        <v>55</v>
      </c>
      <c r="B29" s="22"/>
      <c r="C29" s="4">
        <v>43363</v>
      </c>
      <c r="D29" s="4"/>
      <c r="E29" s="4">
        <v>43440</v>
      </c>
      <c r="F29" s="5"/>
      <c r="G29" s="49"/>
      <c r="H29" s="5">
        <v>14.11</v>
      </c>
      <c r="I29" s="5">
        <f>25*2+25*16/30</f>
        <v>63.333333333333336</v>
      </c>
      <c r="J29" s="5"/>
      <c r="K29" s="5"/>
      <c r="L29" s="6">
        <v>75</v>
      </c>
      <c r="M29" s="18">
        <v>25</v>
      </c>
      <c r="N29" s="18">
        <f t="shared" si="0"/>
        <v>35</v>
      </c>
    </row>
    <row r="30" spans="1:15">
      <c r="A30" s="22" t="s">
        <v>54</v>
      </c>
      <c r="B30" s="22"/>
      <c r="C30" s="4">
        <v>43167</v>
      </c>
      <c r="D30" s="4"/>
      <c r="E30" s="4">
        <v>43455</v>
      </c>
      <c r="F30" s="5"/>
      <c r="G30" s="49"/>
      <c r="H30" s="5">
        <v>10.86</v>
      </c>
      <c r="I30" s="5">
        <f>9*25+25*13/30</f>
        <v>235.83333333333334</v>
      </c>
      <c r="J30" s="5"/>
      <c r="K30" s="5"/>
      <c r="L30" s="6">
        <v>90</v>
      </c>
      <c r="M30" s="18">
        <v>36</v>
      </c>
      <c r="N30" s="18">
        <f t="shared" si="0"/>
        <v>37.799999999999997</v>
      </c>
    </row>
    <row r="31" spans="1:15">
      <c r="A31" s="22" t="s">
        <v>57</v>
      </c>
      <c r="B31" s="22"/>
      <c r="C31" s="4">
        <v>43478</v>
      </c>
      <c r="D31" s="4"/>
      <c r="E31" s="4">
        <v>43536</v>
      </c>
      <c r="F31" s="5"/>
      <c r="G31" s="49"/>
      <c r="H31" s="5">
        <v>10.86</v>
      </c>
      <c r="I31" s="5">
        <v>25</v>
      </c>
      <c r="J31" s="5"/>
      <c r="K31" s="5"/>
      <c r="L31" s="6">
        <v>70</v>
      </c>
      <c r="M31" s="6">
        <v>25</v>
      </c>
      <c r="N31" s="6">
        <f t="shared" si="0"/>
        <v>31.499999999999996</v>
      </c>
    </row>
    <row r="32" spans="1:15">
      <c r="A32" s="22" t="s">
        <v>59</v>
      </c>
      <c r="B32" s="22"/>
      <c r="C32" s="4">
        <v>43528</v>
      </c>
      <c r="D32" s="4"/>
      <c r="E32" s="4">
        <v>43538</v>
      </c>
      <c r="F32" s="5"/>
      <c r="G32" s="49"/>
      <c r="H32" s="5">
        <v>14.92</v>
      </c>
      <c r="I32" s="5">
        <f>77/30*10</f>
        <v>25.666666666666668</v>
      </c>
      <c r="J32" s="5"/>
      <c r="K32" s="5"/>
      <c r="L32" s="6">
        <v>169</v>
      </c>
      <c r="M32" s="6">
        <f>64+11+2</f>
        <v>77</v>
      </c>
      <c r="N32" s="6">
        <f t="shared" si="0"/>
        <v>64.399999999999991</v>
      </c>
    </row>
    <row r="33" spans="1:15">
      <c r="A33" s="22" t="s">
        <v>58</v>
      </c>
      <c r="B33" s="22"/>
      <c r="C33" s="4">
        <v>43534</v>
      </c>
      <c r="D33" s="4"/>
      <c r="E33" s="4">
        <v>43542</v>
      </c>
      <c r="F33" s="5"/>
      <c r="G33" s="49"/>
      <c r="H33" s="5">
        <f>10.86*2</f>
        <v>21.72</v>
      </c>
      <c r="I33" s="5">
        <v>0</v>
      </c>
      <c r="J33" s="5"/>
      <c r="K33" s="5"/>
      <c r="L33" s="6">
        <v>120</v>
      </c>
      <c r="M33" s="6">
        <f>60+11</f>
        <v>71</v>
      </c>
      <c r="N33" s="6">
        <f t="shared" si="0"/>
        <v>34.299999999999997</v>
      </c>
    </row>
    <row r="34" spans="1:15">
      <c r="A34" s="22" t="s">
        <v>61</v>
      </c>
      <c r="B34" s="22"/>
      <c r="C34" s="4">
        <v>43482</v>
      </c>
      <c r="D34" s="4"/>
      <c r="E34" s="4">
        <v>43542</v>
      </c>
      <c r="F34" s="5"/>
      <c r="G34" s="49"/>
      <c r="H34" s="5">
        <v>11.1</v>
      </c>
      <c r="I34" s="5">
        <f>25*2</f>
        <v>50</v>
      </c>
      <c r="J34" s="5"/>
      <c r="K34" s="5"/>
      <c r="L34" s="6">
        <v>70</v>
      </c>
      <c r="M34" s="6">
        <v>26</v>
      </c>
      <c r="N34" s="6">
        <f t="shared" si="0"/>
        <v>30.799999999999997</v>
      </c>
    </row>
    <row r="35" spans="1:15">
      <c r="A35" s="22" t="s">
        <v>63</v>
      </c>
      <c r="B35" s="22"/>
      <c r="C35" s="4">
        <v>43593</v>
      </c>
      <c r="D35" s="4"/>
      <c r="E35" s="4">
        <v>43605</v>
      </c>
      <c r="F35" s="5"/>
      <c r="G35" s="49"/>
      <c r="H35" s="5">
        <f>10.86*2+20</f>
        <v>41.72</v>
      </c>
      <c r="I35" s="5">
        <f>18/30*12</f>
        <v>7.1999999999999993</v>
      </c>
      <c r="J35" s="5"/>
      <c r="K35" s="5"/>
      <c r="L35" s="6">
        <v>100</v>
      </c>
      <c r="M35" s="6">
        <f>11+7</f>
        <v>18</v>
      </c>
      <c r="N35" s="6">
        <f t="shared" si="0"/>
        <v>57.4</v>
      </c>
    </row>
    <row r="36" spans="1:15">
      <c r="A36" s="22" t="s">
        <v>67</v>
      </c>
      <c r="B36" s="22"/>
      <c r="C36" s="4">
        <v>43600</v>
      </c>
      <c r="D36" s="4"/>
      <c r="E36" s="4">
        <v>43629</v>
      </c>
      <c r="F36" s="5"/>
      <c r="G36" s="49"/>
      <c r="H36" s="5">
        <f>10.86*2</f>
        <v>21.72</v>
      </c>
      <c r="I36" s="5">
        <f>22/30*58</f>
        <v>42.533333333333331</v>
      </c>
      <c r="J36" s="5">
        <v>50</v>
      </c>
      <c r="K36" s="5">
        <f>H36+I36+J36</f>
        <v>114.25333333333333</v>
      </c>
      <c r="L36" s="6">
        <v>60</v>
      </c>
      <c r="M36" s="6">
        <v>25</v>
      </c>
      <c r="N36" s="6">
        <v>0</v>
      </c>
    </row>
    <row r="37" spans="1:15">
      <c r="A37" s="22" t="s">
        <v>66</v>
      </c>
      <c r="B37" s="22"/>
      <c r="C37" s="4">
        <v>43600</v>
      </c>
      <c r="D37" s="4"/>
      <c r="E37" s="4">
        <v>43629</v>
      </c>
      <c r="F37" s="5"/>
      <c r="G37" s="49"/>
      <c r="H37" s="5">
        <f>10.86</f>
        <v>10.86</v>
      </c>
      <c r="I37" s="5">
        <f>39/30*58</f>
        <v>75.400000000000006</v>
      </c>
      <c r="J37" s="5"/>
      <c r="K37" s="5">
        <f>H37+I37</f>
        <v>86.26</v>
      </c>
      <c r="L37" s="6">
        <v>110</v>
      </c>
      <c r="M37" s="6">
        <f>25+11+3</f>
        <v>39</v>
      </c>
      <c r="N37" s="6">
        <v>0</v>
      </c>
      <c r="O37" t="s">
        <v>73</v>
      </c>
    </row>
    <row r="38" spans="1:15">
      <c r="A38" s="22" t="s">
        <v>64</v>
      </c>
      <c r="B38" s="22"/>
      <c r="C38" s="4">
        <v>43627</v>
      </c>
      <c r="D38" s="4"/>
      <c r="E38" s="4">
        <v>43629</v>
      </c>
      <c r="F38" s="5"/>
      <c r="G38" s="49"/>
      <c r="H38" s="5">
        <v>10.86</v>
      </c>
      <c r="I38" s="5">
        <f>25/30*2</f>
        <v>1.6666666666666667</v>
      </c>
      <c r="J38" s="5"/>
      <c r="K38" s="5">
        <f>H38+I38</f>
        <v>12.526666666666666</v>
      </c>
      <c r="L38" s="6">
        <v>75</v>
      </c>
      <c r="M38" s="6">
        <v>33</v>
      </c>
      <c r="N38" s="6">
        <f t="shared" si="0"/>
        <v>29.4</v>
      </c>
    </row>
    <row r="39" spans="1:15">
      <c r="A39" s="22" t="s">
        <v>65</v>
      </c>
      <c r="B39" s="22"/>
      <c r="C39" s="4">
        <v>43622</v>
      </c>
      <c r="D39" s="4"/>
      <c r="E39" s="4">
        <v>43650</v>
      </c>
      <c r="F39" s="5"/>
      <c r="G39" s="49"/>
      <c r="H39" s="5">
        <v>10.86</v>
      </c>
      <c r="I39" s="5"/>
      <c r="J39" s="5"/>
      <c r="K39" s="5"/>
      <c r="L39" s="6">
        <v>120</v>
      </c>
      <c r="M39" s="6">
        <v>60</v>
      </c>
      <c r="N39" s="6">
        <f t="shared" si="0"/>
        <v>42</v>
      </c>
    </row>
    <row r="40" spans="1:15">
      <c r="A40" s="22" t="s">
        <v>71</v>
      </c>
      <c r="B40" s="22"/>
      <c r="C40" s="4">
        <v>43635</v>
      </c>
      <c r="D40" s="4"/>
      <c r="E40" s="4">
        <v>43662</v>
      </c>
      <c r="F40" s="5"/>
      <c r="G40" s="49"/>
      <c r="H40" s="5">
        <f>10.86*2</f>
        <v>21.72</v>
      </c>
      <c r="I40" s="5"/>
      <c r="J40" s="5"/>
      <c r="K40" s="5"/>
      <c r="L40" s="6">
        <v>70</v>
      </c>
      <c r="M40" s="6">
        <v>26</v>
      </c>
      <c r="N40" s="6">
        <f t="shared" si="0"/>
        <v>30.799999999999997</v>
      </c>
      <c r="O40" t="s">
        <v>72</v>
      </c>
    </row>
    <row r="41" spans="1:15">
      <c r="A41" s="2" t="s">
        <v>75</v>
      </c>
      <c r="B41" s="2"/>
      <c r="C41" s="4">
        <v>43656</v>
      </c>
      <c r="D41" s="4"/>
      <c r="E41" s="4">
        <v>43711</v>
      </c>
      <c r="F41" s="5"/>
      <c r="G41" s="49"/>
      <c r="H41" s="5">
        <v>10.86</v>
      </c>
      <c r="I41" s="5">
        <f>36/30*48</f>
        <v>57.599999999999994</v>
      </c>
      <c r="J41" s="5"/>
      <c r="K41" s="5"/>
      <c r="L41" s="6">
        <v>105</v>
      </c>
      <c r="M41" s="6">
        <v>36</v>
      </c>
      <c r="N41" s="18">
        <f t="shared" si="0"/>
        <v>48.3</v>
      </c>
    </row>
    <row r="42" spans="1:15">
      <c r="A42" s="2" t="s">
        <v>76</v>
      </c>
      <c r="B42" s="2"/>
      <c r="C42" s="4">
        <v>43677</v>
      </c>
      <c r="D42" s="4"/>
      <c r="E42" s="4">
        <v>43713</v>
      </c>
      <c r="F42" s="5"/>
      <c r="G42" s="49"/>
      <c r="H42" s="5">
        <v>24.06</v>
      </c>
      <c r="I42" s="5">
        <f>80/30*35</f>
        <v>93.333333333333329</v>
      </c>
      <c r="J42" s="5">
        <v>40</v>
      </c>
      <c r="K42" s="5"/>
      <c r="L42" s="6">
        <v>149</v>
      </c>
      <c r="M42" s="6">
        <v>80</v>
      </c>
      <c r="N42" s="6">
        <f t="shared" si="0"/>
        <v>48.3</v>
      </c>
      <c r="O42" t="s">
        <v>79</v>
      </c>
    </row>
    <row r="43" spans="1:15">
      <c r="A43" s="2" t="s">
        <v>81</v>
      </c>
      <c r="B43" s="2"/>
      <c r="C43" s="4">
        <v>43788</v>
      </c>
      <c r="D43" s="4"/>
      <c r="E43" s="4">
        <v>43865</v>
      </c>
      <c r="F43" s="5"/>
      <c r="G43" s="49"/>
      <c r="H43" s="5">
        <v>9.14</v>
      </c>
      <c r="I43" s="5">
        <f>25/30*45</f>
        <v>37.5</v>
      </c>
      <c r="J43" s="5"/>
      <c r="K43" s="5"/>
      <c r="L43" s="6">
        <v>90</v>
      </c>
      <c r="M43" s="6">
        <v>25</v>
      </c>
      <c r="N43" s="27">
        <f t="shared" si="0"/>
        <v>45.5</v>
      </c>
    </row>
    <row r="44" spans="1:15">
      <c r="A44" s="22" t="s">
        <v>87</v>
      </c>
      <c r="B44" s="22"/>
      <c r="C44" s="35">
        <v>43878</v>
      </c>
      <c r="D44" s="35"/>
      <c r="E44" s="35">
        <v>43892</v>
      </c>
      <c r="F44" s="5"/>
      <c r="G44" s="49"/>
      <c r="H44" s="5">
        <v>12.19</v>
      </c>
      <c r="I44" s="5">
        <v>5.5</v>
      </c>
      <c r="J44" s="5"/>
      <c r="K44" s="5"/>
      <c r="L44" s="6">
        <v>25</v>
      </c>
      <c r="M44" s="6">
        <v>11</v>
      </c>
      <c r="N44" s="6">
        <f t="shared" si="0"/>
        <v>9.7999999999999989</v>
      </c>
    </row>
    <row r="45" spans="1:15">
      <c r="A45" s="22" t="s">
        <v>89</v>
      </c>
      <c r="B45" s="22"/>
      <c r="C45" s="35">
        <v>43908</v>
      </c>
      <c r="D45" s="35"/>
      <c r="E45" s="35">
        <v>43893</v>
      </c>
      <c r="F45" s="5"/>
      <c r="G45" s="49"/>
      <c r="H45" s="5">
        <v>9.6</v>
      </c>
      <c r="I45" s="5">
        <v>5.5</v>
      </c>
      <c r="J45" s="5"/>
      <c r="K45" s="5"/>
      <c r="L45" s="6">
        <v>25</v>
      </c>
      <c r="M45" s="6">
        <v>11</v>
      </c>
      <c r="N45" s="6">
        <f t="shared" si="0"/>
        <v>9.7999999999999989</v>
      </c>
    </row>
    <row r="46" spans="1:15">
      <c r="A46" s="22" t="s">
        <v>85</v>
      </c>
      <c r="B46" s="22"/>
      <c r="C46" s="35">
        <v>43881</v>
      </c>
      <c r="D46" s="35"/>
      <c r="E46" s="35">
        <v>43895</v>
      </c>
      <c r="F46" s="5"/>
      <c r="G46" s="49"/>
      <c r="H46" s="5">
        <v>9.14</v>
      </c>
      <c r="I46" s="5">
        <f>11/30*15</f>
        <v>5.5</v>
      </c>
      <c r="J46" s="5"/>
      <c r="K46" s="5"/>
      <c r="L46" s="6">
        <v>25</v>
      </c>
      <c r="M46" s="6">
        <v>11</v>
      </c>
      <c r="N46" s="6">
        <f t="shared" si="0"/>
        <v>9.7999999999999989</v>
      </c>
    </row>
    <row r="47" spans="1:15">
      <c r="A47" s="22" t="s">
        <v>82</v>
      </c>
      <c r="B47" s="55"/>
      <c r="C47" s="45">
        <v>40235</v>
      </c>
      <c r="D47" s="45"/>
      <c r="E47" s="35">
        <v>43901</v>
      </c>
      <c r="F47" s="5"/>
      <c r="G47" s="49"/>
      <c r="H47" s="5">
        <v>9.6</v>
      </c>
      <c r="I47" s="5">
        <f>11/2</f>
        <v>5.5</v>
      </c>
      <c r="J47" s="5"/>
      <c r="K47" s="5"/>
      <c r="L47" s="6">
        <v>25</v>
      </c>
      <c r="M47" s="6">
        <v>11</v>
      </c>
      <c r="N47" s="6">
        <f t="shared" si="0"/>
        <v>9.7999999999999989</v>
      </c>
    </row>
    <row r="48" spans="1:15">
      <c r="A48" s="22" t="s">
        <v>84</v>
      </c>
      <c r="B48" s="22"/>
      <c r="C48" s="35">
        <v>43889</v>
      </c>
      <c r="D48" s="35"/>
      <c r="E48" s="35">
        <v>43903</v>
      </c>
      <c r="F48" s="5"/>
      <c r="G48" s="49"/>
      <c r="H48" s="5">
        <v>9.14</v>
      </c>
      <c r="I48" s="5">
        <f>11/30*15</f>
        <v>5.5</v>
      </c>
      <c r="J48" s="5"/>
      <c r="K48" s="5"/>
      <c r="L48" s="6">
        <v>25</v>
      </c>
      <c r="M48" s="6">
        <v>11</v>
      </c>
      <c r="N48" s="6">
        <f t="shared" si="0"/>
        <v>9.7999999999999989</v>
      </c>
    </row>
    <row r="49" spans="1:16">
      <c r="A49" s="22" t="s">
        <v>80</v>
      </c>
      <c r="B49" s="22"/>
      <c r="C49" s="35">
        <v>43873</v>
      </c>
      <c r="D49" s="35"/>
      <c r="E49" s="35">
        <v>43910</v>
      </c>
      <c r="F49" s="5"/>
      <c r="G49" s="49"/>
      <c r="H49" s="5">
        <v>21.84</v>
      </c>
      <c r="I49" s="5">
        <f>56/30*38</f>
        <v>70.933333333333337</v>
      </c>
      <c r="J49" s="5"/>
      <c r="K49" s="5"/>
      <c r="L49" s="6">
        <v>120</v>
      </c>
      <c r="M49" s="6">
        <v>56</v>
      </c>
      <c r="N49" s="6">
        <f t="shared" si="0"/>
        <v>44.8</v>
      </c>
    </row>
    <row r="50" spans="1:16">
      <c r="A50" s="22" t="s">
        <v>83</v>
      </c>
      <c r="B50" s="22"/>
      <c r="C50" s="35">
        <v>43872</v>
      </c>
      <c r="D50" s="35"/>
      <c r="E50" s="35">
        <v>43913</v>
      </c>
      <c r="F50" s="5"/>
      <c r="G50" s="49"/>
      <c r="H50" s="5">
        <v>12.24</v>
      </c>
      <c r="I50" s="5">
        <f>45/30*42</f>
        <v>63</v>
      </c>
      <c r="J50" s="5"/>
      <c r="K50" s="5"/>
      <c r="L50" s="6">
        <v>85</v>
      </c>
      <c r="M50" s="6">
        <v>45</v>
      </c>
      <c r="N50" s="6">
        <f t="shared" si="0"/>
        <v>28</v>
      </c>
    </row>
    <row r="51" spans="1:16">
      <c r="A51" s="22" t="s">
        <v>88</v>
      </c>
      <c r="B51" s="22"/>
      <c r="C51" s="35">
        <v>43855</v>
      </c>
      <c r="D51" s="35"/>
      <c r="E51" s="35">
        <v>43941</v>
      </c>
      <c r="F51" s="5"/>
      <c r="G51" s="49"/>
      <c r="H51" s="5">
        <v>13.93</v>
      </c>
      <c r="I51" s="5">
        <f>56/30*85</f>
        <v>158.66666666666666</v>
      </c>
      <c r="J51" s="5"/>
      <c r="K51" s="5"/>
      <c r="L51" s="6">
        <v>110</v>
      </c>
      <c r="M51" s="6">
        <v>56</v>
      </c>
      <c r="N51" s="6">
        <f t="shared" si="0"/>
        <v>37.799999999999997</v>
      </c>
    </row>
    <row r="52" spans="1:16">
      <c r="A52" s="22" t="s">
        <v>90</v>
      </c>
      <c r="B52" s="22"/>
      <c r="C52" s="35" t="s">
        <v>96</v>
      </c>
      <c r="D52" s="35"/>
      <c r="E52" s="35">
        <v>44015</v>
      </c>
      <c r="F52" s="5" t="s">
        <v>160</v>
      </c>
      <c r="G52" s="49">
        <v>12.5</v>
      </c>
      <c r="H52" s="5">
        <v>11.29</v>
      </c>
      <c r="I52" s="5">
        <f>100</f>
        <v>100</v>
      </c>
      <c r="J52" s="5"/>
      <c r="K52" s="5"/>
      <c r="L52" s="6">
        <v>75</v>
      </c>
      <c r="M52" s="6">
        <f>25+11</f>
        <v>36</v>
      </c>
      <c r="N52" s="6">
        <f>12.5+(62.5-M52)*0.7</f>
        <v>31.049999999999997</v>
      </c>
      <c r="P52" s="41"/>
    </row>
    <row r="53" spans="1:16">
      <c r="A53" s="22" t="s">
        <v>97</v>
      </c>
      <c r="B53" s="22"/>
      <c r="C53" s="35">
        <v>43990</v>
      </c>
      <c r="D53" s="35"/>
      <c r="E53" s="35">
        <v>44036</v>
      </c>
      <c r="F53" s="5"/>
      <c r="G53" s="49"/>
      <c r="H53" s="5">
        <v>8.75</v>
      </c>
      <c r="I53" s="5">
        <f>56/30*46</f>
        <v>85.866666666666674</v>
      </c>
      <c r="J53" s="5"/>
      <c r="K53" s="5"/>
      <c r="L53" s="6">
        <v>110</v>
      </c>
      <c r="M53" s="6">
        <f>45+11</f>
        <v>56</v>
      </c>
      <c r="N53" s="6">
        <f>(L53-M53)*0.7</f>
        <v>37.799999999999997</v>
      </c>
    </row>
    <row r="54" spans="1:16">
      <c r="A54" s="22" t="s">
        <v>95</v>
      </c>
      <c r="B54" s="22"/>
      <c r="C54" s="35">
        <v>44028</v>
      </c>
      <c r="D54" s="35"/>
      <c r="E54" s="35">
        <v>44040</v>
      </c>
      <c r="F54" s="5"/>
      <c r="G54" s="49"/>
      <c r="H54" s="5">
        <v>8.75</v>
      </c>
      <c r="I54" s="5">
        <f>41/30*12</f>
        <v>16.399999999999999</v>
      </c>
      <c r="J54" s="5"/>
      <c r="K54" s="5"/>
      <c r="L54" s="6">
        <v>60</v>
      </c>
      <c r="M54" s="6">
        <v>41</v>
      </c>
      <c r="N54" s="6">
        <f>(L54-M54)*0.7</f>
        <v>13.299999999999999</v>
      </c>
    </row>
    <row r="55" spans="1:16">
      <c r="A55" s="22" t="s">
        <v>98</v>
      </c>
      <c r="B55" s="22"/>
      <c r="C55" s="35">
        <v>44048</v>
      </c>
      <c r="D55" s="35"/>
      <c r="E55" s="35">
        <v>44081</v>
      </c>
      <c r="F55" s="5" t="s">
        <v>160</v>
      </c>
      <c r="G55" s="49">
        <v>17.5</v>
      </c>
      <c r="H55" s="5">
        <v>27.88</v>
      </c>
      <c r="I55" s="5">
        <f>58/30*32</f>
        <v>61.866666666666667</v>
      </c>
      <c r="J55" s="5">
        <v>125</v>
      </c>
      <c r="K55" s="5"/>
      <c r="L55" s="6">
        <v>140</v>
      </c>
      <c r="M55" s="6">
        <f>25+33</f>
        <v>58</v>
      </c>
      <c r="N55" s="6">
        <f>17.5+64.5*0.7</f>
        <v>62.65</v>
      </c>
      <c r="P55" s="41"/>
    </row>
    <row r="56" spans="1:16">
      <c r="A56" s="22" t="s">
        <v>91</v>
      </c>
      <c r="B56" s="22"/>
      <c r="C56" s="35">
        <v>44011</v>
      </c>
      <c r="D56" s="35"/>
      <c r="E56" s="35">
        <v>44084</v>
      </c>
      <c r="F56" s="5"/>
      <c r="G56" s="49"/>
      <c r="H56" s="5">
        <v>11.29</v>
      </c>
      <c r="I56" s="5">
        <f>25/30*71</f>
        <v>59.166666666666671</v>
      </c>
      <c r="J56" s="5"/>
      <c r="K56" s="5"/>
      <c r="L56" s="6">
        <v>40</v>
      </c>
      <c r="M56" s="6">
        <v>25</v>
      </c>
      <c r="N56" s="6">
        <f>(L56-M56)*0.7</f>
        <v>10.5</v>
      </c>
    </row>
    <row r="57" spans="1:16">
      <c r="A57" s="2" t="s">
        <v>99</v>
      </c>
      <c r="B57" s="2"/>
      <c r="C57" s="35">
        <v>44084</v>
      </c>
      <c r="D57" s="35"/>
      <c r="E57" s="35">
        <v>44105</v>
      </c>
      <c r="F57" s="5" t="s">
        <v>160</v>
      </c>
      <c r="G57" s="49">
        <v>5</v>
      </c>
      <c r="H57" s="5">
        <v>12.24</v>
      </c>
      <c r="I57" s="5">
        <f>25/30*20</f>
        <v>16.666666666666668</v>
      </c>
      <c r="J57" s="5"/>
      <c r="K57" s="5"/>
      <c r="L57" s="43">
        <v>40</v>
      </c>
      <c r="M57" s="6">
        <v>22</v>
      </c>
      <c r="N57" s="6">
        <f>5+13*0.7</f>
        <v>14.1</v>
      </c>
      <c r="P57" s="41"/>
    </row>
    <row r="58" spans="1:16">
      <c r="A58" s="2" t="s">
        <v>102</v>
      </c>
      <c r="B58" s="2"/>
      <c r="C58" s="4" t="s">
        <v>103</v>
      </c>
      <c r="D58" s="4"/>
      <c r="E58" s="4">
        <v>44110</v>
      </c>
      <c r="F58" s="5" t="s">
        <v>160</v>
      </c>
      <c r="G58" s="49">
        <v>10</v>
      </c>
      <c r="H58" s="5">
        <v>36.65</v>
      </c>
      <c r="I58" s="5">
        <f>115/30*26</f>
        <v>99.666666666666671</v>
      </c>
      <c r="J58" s="5"/>
      <c r="K58" s="5"/>
      <c r="L58" s="6">
        <v>180</v>
      </c>
      <c r="M58" s="6">
        <v>115</v>
      </c>
      <c r="N58" s="6">
        <f>10+55*0.7</f>
        <v>48.5</v>
      </c>
      <c r="P58" s="41"/>
    </row>
    <row r="59" spans="1:16">
      <c r="A59" s="2" t="s">
        <v>94</v>
      </c>
      <c r="B59" s="2"/>
      <c r="C59" s="35">
        <v>44124</v>
      </c>
      <c r="D59" s="35"/>
      <c r="E59" s="35">
        <v>44124</v>
      </c>
      <c r="F59" s="5"/>
      <c r="G59" s="49"/>
      <c r="H59" s="5">
        <v>7.25</v>
      </c>
      <c r="I59" s="5">
        <v>0</v>
      </c>
      <c r="J59" s="5"/>
      <c r="K59" s="5"/>
      <c r="L59" s="6">
        <v>25</v>
      </c>
      <c r="M59" s="6">
        <v>11</v>
      </c>
      <c r="N59" s="6">
        <f>(L59-M59)*0.7</f>
        <v>9.7999999999999989</v>
      </c>
    </row>
    <row r="60" spans="1:16">
      <c r="A60" s="2" t="s">
        <v>100</v>
      </c>
      <c r="B60" s="2"/>
      <c r="C60" s="4">
        <v>44018</v>
      </c>
      <c r="D60" s="4"/>
      <c r="E60" s="4">
        <v>44124</v>
      </c>
      <c r="F60" s="40"/>
      <c r="G60" s="2"/>
      <c r="H60" s="5">
        <v>9.5</v>
      </c>
      <c r="I60" s="5">
        <f>25/30*104</f>
        <v>86.666666666666671</v>
      </c>
      <c r="J60" s="5"/>
      <c r="K60" s="5"/>
      <c r="L60" s="6">
        <v>70</v>
      </c>
      <c r="M60" s="6">
        <v>25</v>
      </c>
      <c r="N60" s="6">
        <f>(L60-M60)*0.7</f>
        <v>31.499999999999996</v>
      </c>
    </row>
    <row r="61" spans="1:16">
      <c r="A61" s="2" t="s">
        <v>101</v>
      </c>
      <c r="B61" s="2"/>
      <c r="C61" s="4">
        <v>44070</v>
      </c>
      <c r="D61" s="4"/>
      <c r="E61" s="4">
        <v>44131</v>
      </c>
      <c r="F61" s="40"/>
      <c r="G61" s="2"/>
      <c r="H61" s="5">
        <v>13.93</v>
      </c>
      <c r="I61" s="5">
        <f>71/30*60</f>
        <v>142</v>
      </c>
      <c r="J61" s="5"/>
      <c r="K61" s="5"/>
      <c r="L61" s="6">
        <v>120</v>
      </c>
      <c r="M61" s="6">
        <f>60+11</f>
        <v>71</v>
      </c>
      <c r="N61" s="6">
        <f>(L61-M61)*0.7</f>
        <v>34.299999999999997</v>
      </c>
    </row>
    <row r="62" spans="1:16">
      <c r="A62" s="22" t="s">
        <v>104</v>
      </c>
      <c r="B62" s="22"/>
      <c r="C62" s="4">
        <v>44159</v>
      </c>
      <c r="D62" s="4"/>
      <c r="E62" s="4">
        <v>44187</v>
      </c>
      <c r="F62" s="40"/>
      <c r="G62" s="2"/>
      <c r="H62" s="5">
        <v>13.93</v>
      </c>
      <c r="I62" s="5">
        <f>36/30*28</f>
        <v>33.6</v>
      </c>
      <c r="J62" s="5"/>
      <c r="K62" s="5"/>
      <c r="L62" s="6">
        <v>110</v>
      </c>
      <c r="M62" s="6">
        <f>25+11</f>
        <v>36</v>
      </c>
      <c r="N62" s="6">
        <f>(L62-M62)*0.7</f>
        <v>51.8</v>
      </c>
    </row>
    <row r="63" spans="1:16">
      <c r="A63" s="39" t="s">
        <v>120</v>
      </c>
      <c r="B63" s="28"/>
      <c r="C63" s="15">
        <v>44169</v>
      </c>
      <c r="D63" s="15"/>
      <c r="E63" s="15">
        <v>44208</v>
      </c>
      <c r="F63" s="5" t="s">
        <v>160</v>
      </c>
      <c r="G63" s="34">
        <v>10</v>
      </c>
      <c r="H63" s="37"/>
      <c r="I63" s="5">
        <f>41/30*38</f>
        <v>51.933333333333337</v>
      </c>
      <c r="J63" s="5"/>
      <c r="K63" s="5"/>
      <c r="L63" s="17">
        <v>70</v>
      </c>
      <c r="M63" s="26">
        <v>45</v>
      </c>
      <c r="N63" s="37">
        <f>10+(60-45)*0.7</f>
        <v>20.5</v>
      </c>
      <c r="O63" s="1" t="s">
        <v>145</v>
      </c>
    </row>
    <row r="64" spans="1:16">
      <c r="A64" s="22" t="s">
        <v>108</v>
      </c>
      <c r="B64" s="22"/>
      <c r="C64" s="4">
        <v>44185</v>
      </c>
      <c r="D64" s="4"/>
      <c r="E64" s="4">
        <v>44242</v>
      </c>
      <c r="F64" s="5" t="s">
        <v>160</v>
      </c>
      <c r="G64" s="49">
        <v>20</v>
      </c>
      <c r="H64" s="5">
        <v>26.48</v>
      </c>
      <c r="I64" s="5">
        <f>50/30*55</f>
        <v>91.666666666666671</v>
      </c>
      <c r="J64" s="5">
        <v>160</v>
      </c>
      <c r="K64" s="5"/>
      <c r="L64" s="6">
        <v>190</v>
      </c>
      <c r="M64" s="6">
        <v>61</v>
      </c>
      <c r="N64" s="5">
        <f>(20+(170-61)*0.7)</f>
        <v>96.3</v>
      </c>
      <c r="O64" s="1" t="s">
        <v>145</v>
      </c>
    </row>
    <row r="65" spans="1:15">
      <c r="A65" s="22" t="s">
        <v>109</v>
      </c>
      <c r="B65" s="22"/>
      <c r="C65" s="4">
        <v>44209</v>
      </c>
      <c r="D65" s="4"/>
      <c r="E65" s="4">
        <v>44250</v>
      </c>
      <c r="F65" s="5" t="s">
        <v>160</v>
      </c>
      <c r="G65" s="49">
        <v>22.5</v>
      </c>
      <c r="H65" s="5">
        <v>22.83</v>
      </c>
      <c r="I65" s="5">
        <f>100/30*40</f>
        <v>133.33333333333334</v>
      </c>
      <c r="J65" s="5">
        <v>125</v>
      </c>
      <c r="K65" s="5"/>
      <c r="L65" s="6">
        <v>210</v>
      </c>
      <c r="M65" s="6">
        <v>100</v>
      </c>
      <c r="N65" s="6">
        <f>(22.5+87.5*0.7)</f>
        <v>83.75</v>
      </c>
    </row>
    <row r="66" spans="1:15">
      <c r="A66" s="2" t="s">
        <v>113</v>
      </c>
      <c r="B66" s="2"/>
      <c r="C66" s="4">
        <v>44245</v>
      </c>
      <c r="D66" s="4"/>
      <c r="E66" s="4">
        <v>44271</v>
      </c>
      <c r="F66" s="5" t="s">
        <v>160</v>
      </c>
      <c r="G66" s="49">
        <v>15</v>
      </c>
      <c r="H66" s="5">
        <v>26.76</v>
      </c>
      <c r="I66" s="5">
        <f>67/30*28</f>
        <v>62.533333333333331</v>
      </c>
      <c r="J66" s="5"/>
      <c r="K66" s="5"/>
      <c r="L66" s="6">
        <v>140</v>
      </c>
      <c r="M66" s="6">
        <v>67</v>
      </c>
      <c r="N66" s="6">
        <f>(15+0.7*58)</f>
        <v>55.599999999999994</v>
      </c>
    </row>
    <row r="67" spans="1:15">
      <c r="A67" s="2" t="s">
        <v>114</v>
      </c>
      <c r="B67" s="2"/>
      <c r="C67" s="4">
        <v>44222</v>
      </c>
      <c r="D67" s="4"/>
      <c r="E67" s="4">
        <v>44279</v>
      </c>
      <c r="F67" s="5" t="s">
        <v>160</v>
      </c>
      <c r="G67" s="49">
        <v>12.5</v>
      </c>
      <c r="H67" s="5">
        <v>13.4</v>
      </c>
      <c r="I67" s="5">
        <f>56/30*58</f>
        <v>108.26666666666667</v>
      </c>
      <c r="J67" s="5">
        <v>100</v>
      </c>
      <c r="K67" s="5"/>
      <c r="L67" s="6">
        <v>140</v>
      </c>
      <c r="M67" s="6">
        <v>56</v>
      </c>
      <c r="N67" s="5">
        <f>(12.5+71.5*0.7)</f>
        <v>62.55</v>
      </c>
      <c r="O67" s="1" t="s">
        <v>145</v>
      </c>
    </row>
    <row r="68" spans="1:15">
      <c r="A68" s="2" t="s">
        <v>112</v>
      </c>
      <c r="B68" s="2"/>
      <c r="C68" s="4">
        <v>44270</v>
      </c>
      <c r="D68" s="4"/>
      <c r="E68" s="4">
        <v>44286</v>
      </c>
      <c r="F68" s="5" t="s">
        <v>160</v>
      </c>
      <c r="G68" s="49">
        <v>17.5</v>
      </c>
      <c r="H68" s="5">
        <v>31.96</v>
      </c>
      <c r="I68" s="5">
        <f>55/30*16</f>
        <v>29.333333333333332</v>
      </c>
      <c r="J68" s="5">
        <v>75</v>
      </c>
      <c r="K68" s="5"/>
      <c r="L68" s="6">
        <v>100</v>
      </c>
      <c r="M68" s="6">
        <v>55</v>
      </c>
      <c r="N68" s="6">
        <f>(17.5+27.5*0.7)</f>
        <v>36.75</v>
      </c>
    </row>
    <row r="69" spans="1:15">
      <c r="A69" s="2" t="s">
        <v>119</v>
      </c>
      <c r="B69" s="2"/>
      <c r="C69" s="4">
        <v>44281</v>
      </c>
      <c r="D69" s="4"/>
      <c r="E69" s="4">
        <v>44316</v>
      </c>
      <c r="F69" s="40"/>
      <c r="G69" s="2"/>
      <c r="H69" s="5">
        <v>14.26</v>
      </c>
      <c r="I69" s="5">
        <f>45/30*34</f>
        <v>51</v>
      </c>
      <c r="J69" s="5"/>
      <c r="K69" s="5"/>
      <c r="L69" s="6">
        <v>110</v>
      </c>
      <c r="M69" s="6">
        <v>45</v>
      </c>
      <c r="N69" s="6">
        <f>(65*0.7)</f>
        <v>45.5</v>
      </c>
    </row>
    <row r="70" spans="1:15">
      <c r="A70" s="22" t="s">
        <v>121</v>
      </c>
      <c r="B70" s="22"/>
      <c r="C70" s="4">
        <v>44316</v>
      </c>
      <c r="D70" s="4"/>
      <c r="E70" s="4">
        <v>44354</v>
      </c>
      <c r="F70" s="40"/>
      <c r="G70" s="2"/>
      <c r="H70" s="5">
        <v>15.15</v>
      </c>
      <c r="I70" s="5">
        <f>36/30*37</f>
        <v>44.4</v>
      </c>
      <c r="J70" s="5"/>
      <c r="K70" s="5"/>
      <c r="L70" s="6">
        <v>110</v>
      </c>
      <c r="M70" s="6">
        <v>36</v>
      </c>
      <c r="N70" s="5">
        <f>(L70-M70)*0.7</f>
        <v>51.8</v>
      </c>
      <c r="O70" s="1" t="s">
        <v>145</v>
      </c>
    </row>
    <row r="71" spans="1:15">
      <c r="A71" s="22" t="s">
        <v>126</v>
      </c>
      <c r="B71" s="22"/>
      <c r="C71" s="4">
        <v>44336</v>
      </c>
      <c r="D71" s="4"/>
      <c r="E71" s="4">
        <v>44370</v>
      </c>
      <c r="F71" s="5" t="s">
        <v>161</v>
      </c>
      <c r="G71" s="49">
        <v>17.5</v>
      </c>
      <c r="H71" s="5">
        <v>35.78</v>
      </c>
      <c r="I71" s="5">
        <f>58/30*33</f>
        <v>63.8</v>
      </c>
      <c r="J71" s="5">
        <v>50</v>
      </c>
      <c r="K71" s="5"/>
      <c r="L71" s="6">
        <v>150</v>
      </c>
      <c r="M71" s="6">
        <v>58</v>
      </c>
      <c r="N71" s="6">
        <f>(17.5+74.5*0.7)</f>
        <v>69.650000000000006</v>
      </c>
    </row>
    <row r="72" spans="1:15">
      <c r="A72" s="44" t="s">
        <v>125</v>
      </c>
      <c r="B72" s="44"/>
      <c r="C72" s="4">
        <v>44342</v>
      </c>
      <c r="D72" s="4"/>
      <c r="E72" s="4">
        <v>44386</v>
      </c>
      <c r="F72" s="5" t="s">
        <v>160</v>
      </c>
      <c r="G72" s="49">
        <v>12.5</v>
      </c>
      <c r="H72" s="5">
        <v>15.46</v>
      </c>
      <c r="I72" s="5">
        <f>36/30*43</f>
        <v>51.6</v>
      </c>
      <c r="J72" s="5">
        <f>50+45</f>
        <v>95</v>
      </c>
      <c r="K72" s="5"/>
      <c r="L72" s="6">
        <v>110</v>
      </c>
      <c r="M72" s="6">
        <v>36</v>
      </c>
      <c r="N72" s="6">
        <v>0</v>
      </c>
    </row>
    <row r="73" spans="1:15">
      <c r="A73" s="44" t="s">
        <v>129</v>
      </c>
      <c r="B73" s="44"/>
      <c r="C73" s="4">
        <v>44348</v>
      </c>
      <c r="D73" s="4"/>
      <c r="E73" s="4">
        <v>44389</v>
      </c>
      <c r="F73" s="5" t="s">
        <v>160</v>
      </c>
      <c r="G73" s="49">
        <v>12.5</v>
      </c>
      <c r="H73" s="5">
        <v>26.22</v>
      </c>
      <c r="I73" s="5">
        <f>71/30*42</f>
        <v>99.4</v>
      </c>
      <c r="J73" s="5">
        <f>50+45</f>
        <v>95</v>
      </c>
      <c r="K73" s="5"/>
      <c r="L73" s="6">
        <v>140</v>
      </c>
      <c r="M73" s="6">
        <v>71</v>
      </c>
      <c r="N73" s="6">
        <f>(12.5+(127.5-71)*0.7)</f>
        <v>52.05</v>
      </c>
    </row>
    <row r="74" spans="1:15">
      <c r="A74" s="44" t="s">
        <v>124</v>
      </c>
      <c r="B74" s="44"/>
      <c r="C74" s="4">
        <v>44348</v>
      </c>
      <c r="D74" s="4"/>
      <c r="E74" s="4">
        <v>44389</v>
      </c>
      <c r="F74" s="40"/>
      <c r="G74" s="2"/>
      <c r="H74" s="5">
        <v>11.62</v>
      </c>
      <c r="I74" s="5">
        <f>26/30*42</f>
        <v>36.4</v>
      </c>
      <c r="J74" s="5">
        <v>65</v>
      </c>
      <c r="K74" s="5"/>
      <c r="L74" s="6">
        <v>70</v>
      </c>
      <c r="M74" s="6">
        <v>26</v>
      </c>
      <c r="N74" s="6">
        <f>(70-26)*0.7</f>
        <v>30.799999999999997</v>
      </c>
    </row>
    <row r="75" spans="1:15">
      <c r="A75" s="44" t="s">
        <v>132</v>
      </c>
      <c r="B75" s="44"/>
      <c r="C75" s="4">
        <v>44407</v>
      </c>
      <c r="D75" s="4"/>
      <c r="E75" s="4">
        <v>44461</v>
      </c>
      <c r="F75" s="40"/>
      <c r="G75" s="2"/>
      <c r="H75" s="5">
        <v>9.8800000000000008</v>
      </c>
      <c r="I75" s="5">
        <f>25/30*52</f>
        <v>43.333333333333336</v>
      </c>
      <c r="J75" s="5"/>
      <c r="K75" s="5"/>
      <c r="L75" s="6">
        <v>70</v>
      </c>
      <c r="M75" s="6">
        <v>25</v>
      </c>
      <c r="N75" s="6">
        <f>45*0.7</f>
        <v>31.499999999999996</v>
      </c>
    </row>
    <row r="76" spans="1:15">
      <c r="A76" s="44" t="s">
        <v>133</v>
      </c>
      <c r="B76" s="44"/>
      <c r="C76" s="4">
        <v>44432</v>
      </c>
      <c r="D76" s="4"/>
      <c r="E76" s="4">
        <v>44467</v>
      </c>
      <c r="F76" s="40"/>
      <c r="G76" s="2"/>
      <c r="H76" s="5">
        <v>9.8800000000000008</v>
      </c>
      <c r="I76" s="5">
        <f>25/30*34</f>
        <v>28.333333333333336</v>
      </c>
      <c r="J76" s="5"/>
      <c r="K76" s="5"/>
      <c r="L76" s="6">
        <v>70</v>
      </c>
      <c r="M76" s="6">
        <v>25</v>
      </c>
      <c r="N76" s="6">
        <f>45*0.7</f>
        <v>31.499999999999996</v>
      </c>
    </row>
    <row r="77" spans="1:15">
      <c r="A77" s="44" t="s">
        <v>135</v>
      </c>
      <c r="B77" s="44"/>
      <c r="C77" s="35">
        <v>44460</v>
      </c>
      <c r="D77" s="35"/>
      <c r="E77" s="35">
        <v>44475</v>
      </c>
      <c r="F77" s="40"/>
      <c r="G77" s="2"/>
      <c r="H77" s="5">
        <v>19.760000000000002</v>
      </c>
      <c r="I77" s="5">
        <f>43/30*15</f>
        <v>21.5</v>
      </c>
      <c r="J77" s="5">
        <v>65</v>
      </c>
      <c r="K77" s="5"/>
      <c r="L77" s="6">
        <v>90</v>
      </c>
      <c r="M77" s="6">
        <v>43</v>
      </c>
      <c r="N77" s="6">
        <f>(L77-M77)*0.7</f>
        <v>32.9</v>
      </c>
    </row>
    <row r="78" spans="1:15">
      <c r="A78" s="44" t="s">
        <v>141</v>
      </c>
      <c r="B78" s="44"/>
      <c r="C78" s="35">
        <v>44459</v>
      </c>
      <c r="D78" s="35"/>
      <c r="E78" s="35">
        <v>44481</v>
      </c>
      <c r="F78" s="10" t="s">
        <v>161</v>
      </c>
      <c r="G78" s="12">
        <v>10</v>
      </c>
      <c r="H78" s="5">
        <v>15.15</v>
      </c>
      <c r="I78" s="5">
        <f>46/30*22</f>
        <v>33.733333333333334</v>
      </c>
      <c r="J78" s="5">
        <v>80</v>
      </c>
      <c r="K78" s="5"/>
      <c r="L78" s="6">
        <v>120</v>
      </c>
      <c r="M78" s="6">
        <v>46</v>
      </c>
      <c r="N78" s="6">
        <f>10+(120-56)*0.7</f>
        <v>54.8</v>
      </c>
    </row>
    <row r="79" spans="1:15">
      <c r="A79" s="44" t="s">
        <v>140</v>
      </c>
      <c r="B79" s="44"/>
      <c r="C79" s="35">
        <v>44449</v>
      </c>
      <c r="D79" s="35"/>
      <c r="E79" s="35">
        <v>44482</v>
      </c>
      <c r="F79" s="5" t="s">
        <v>160</v>
      </c>
      <c r="G79" s="49">
        <v>10</v>
      </c>
      <c r="H79" s="5">
        <v>13.4</v>
      </c>
      <c r="I79" s="5">
        <f>60/30*33</f>
        <v>66</v>
      </c>
      <c r="J79" s="5">
        <v>80</v>
      </c>
      <c r="K79" s="5"/>
      <c r="L79" s="6">
        <v>120</v>
      </c>
      <c r="M79" s="6">
        <v>61</v>
      </c>
      <c r="N79" s="6">
        <f>(10+49*0.7)</f>
        <v>44.3</v>
      </c>
    </row>
    <row r="80" spans="1:15">
      <c r="A80" s="44" t="s">
        <v>137</v>
      </c>
      <c r="B80" s="44"/>
      <c r="C80" s="35">
        <v>44474</v>
      </c>
      <c r="D80" s="35"/>
      <c r="E80" s="35">
        <v>44487</v>
      </c>
      <c r="F80" s="10" t="s">
        <v>161</v>
      </c>
      <c r="G80" s="12">
        <v>12.5</v>
      </c>
      <c r="H80" s="5">
        <v>15.15</v>
      </c>
      <c r="I80" s="5">
        <f>71/30*13</f>
        <v>30.766666666666666</v>
      </c>
      <c r="J80" s="5">
        <v>95</v>
      </c>
      <c r="K80" s="5"/>
      <c r="L80" s="6">
        <v>140</v>
      </c>
      <c r="M80" s="6">
        <v>71</v>
      </c>
      <c r="N80" s="6">
        <f>12.5+(56.5)*0.7</f>
        <v>52.05</v>
      </c>
    </row>
    <row r="81" spans="1:14">
      <c r="A81" s="44" t="s">
        <v>143</v>
      </c>
      <c r="B81" s="44"/>
      <c r="C81" s="35">
        <v>43717</v>
      </c>
      <c r="D81" s="35"/>
      <c r="E81" s="35">
        <v>44505</v>
      </c>
      <c r="F81" s="40"/>
      <c r="G81" s="49"/>
      <c r="H81" s="5">
        <v>13.4</v>
      </c>
      <c r="I81" s="5">
        <f>36*25+36/30*26</f>
        <v>931.2</v>
      </c>
      <c r="J81" s="5"/>
      <c r="K81" s="5"/>
      <c r="L81" s="6">
        <v>100</v>
      </c>
      <c r="M81" s="6">
        <v>36</v>
      </c>
      <c r="N81" s="6">
        <f>(100-36)*0.7</f>
        <v>44.8</v>
      </c>
    </row>
    <row r="82" spans="1:14">
      <c r="A82" s="44" t="s">
        <v>139</v>
      </c>
      <c r="B82" s="44"/>
      <c r="C82" s="35">
        <v>44492</v>
      </c>
      <c r="D82" s="35"/>
      <c r="E82" s="35">
        <v>44539</v>
      </c>
      <c r="F82" s="40"/>
      <c r="G82" s="49"/>
      <c r="H82" s="5">
        <v>16.350000000000001</v>
      </c>
      <c r="I82" s="5">
        <f>71/30*46</f>
        <v>108.86666666666667</v>
      </c>
      <c r="J82" s="5">
        <v>95</v>
      </c>
      <c r="K82" s="5"/>
      <c r="L82" s="6">
        <v>140</v>
      </c>
      <c r="M82" s="6">
        <v>71</v>
      </c>
      <c r="N82" s="6">
        <f>(140-71)*0.7/30*21</f>
        <v>33.809999999999995</v>
      </c>
    </row>
    <row r="83" spans="1:14">
      <c r="A83" s="44" t="s">
        <v>144</v>
      </c>
      <c r="B83" s="44"/>
      <c r="C83" s="35">
        <v>44526</v>
      </c>
      <c r="D83" s="35"/>
      <c r="E83" s="35">
        <v>44550</v>
      </c>
      <c r="F83" s="5" t="s">
        <v>160</v>
      </c>
      <c r="G83" s="49">
        <v>12.5</v>
      </c>
      <c r="H83" s="5">
        <v>13.4</v>
      </c>
      <c r="I83" s="5">
        <f>83/30*24</f>
        <v>66.400000000000006</v>
      </c>
      <c r="J83" s="5"/>
      <c r="K83" s="5"/>
      <c r="L83" s="6">
        <v>160</v>
      </c>
      <c r="M83" s="6">
        <v>94</v>
      </c>
      <c r="N83" s="6">
        <f>15+(160-15-94)*0.7/30*10</f>
        <v>26.9</v>
      </c>
    </row>
    <row r="84" spans="1:14">
      <c r="A84" s="44" t="s">
        <v>149</v>
      </c>
      <c r="B84" s="44"/>
      <c r="C84" s="35">
        <v>44880</v>
      </c>
      <c r="D84" s="35"/>
      <c r="E84" s="35">
        <v>44575</v>
      </c>
      <c r="F84" s="40"/>
      <c r="G84" s="49"/>
      <c r="H84" s="5">
        <v>13.4</v>
      </c>
      <c r="I84" s="5"/>
      <c r="J84" s="5">
        <v>50</v>
      </c>
      <c r="K84" s="5"/>
      <c r="L84" s="6">
        <v>140</v>
      </c>
      <c r="M84" s="6">
        <f>71</f>
        <v>71</v>
      </c>
      <c r="N84" s="6">
        <f>(140-71)*0.7</f>
        <v>48.3</v>
      </c>
    </row>
    <row r="85" spans="1:14">
      <c r="A85" s="44" t="s">
        <v>146</v>
      </c>
      <c r="B85" s="44"/>
      <c r="C85" s="4">
        <v>44586</v>
      </c>
      <c r="D85" s="4"/>
      <c r="E85" s="4">
        <v>44615</v>
      </c>
      <c r="F85" s="10" t="s">
        <v>161</v>
      </c>
      <c r="G85" s="12">
        <v>12.5</v>
      </c>
      <c r="H85" s="5">
        <v>15.46</v>
      </c>
      <c r="I85" s="5">
        <f>27/30*28</f>
        <v>25.2</v>
      </c>
      <c r="J85" s="5">
        <v>110</v>
      </c>
      <c r="K85" s="5"/>
      <c r="L85" s="6">
        <v>124</v>
      </c>
      <c r="M85" s="6">
        <v>51</v>
      </c>
      <c r="N85" s="6">
        <f>12.5+(124-63.5)*0.7</f>
        <v>54.849999999999994</v>
      </c>
    </row>
    <row r="86" spans="1:14">
      <c r="A86" s="44" t="s">
        <v>148</v>
      </c>
      <c r="B86" s="44"/>
      <c r="C86" s="4">
        <v>44579</v>
      </c>
      <c r="D86" s="4"/>
      <c r="E86" s="4">
        <v>44594</v>
      </c>
      <c r="F86" s="40"/>
      <c r="G86" s="49"/>
      <c r="H86" s="5">
        <v>13.4</v>
      </c>
      <c r="I86" s="5">
        <f>22/30*14</f>
        <v>10.266666666666666</v>
      </c>
      <c r="J86" s="5">
        <v>30</v>
      </c>
      <c r="K86" s="5"/>
      <c r="L86" s="6">
        <v>50</v>
      </c>
      <c r="M86" s="6">
        <v>22</v>
      </c>
      <c r="N86" s="6">
        <f>(50-22)*0.7</f>
        <v>19.599999999999998</v>
      </c>
    </row>
    <row r="87" spans="1:14">
      <c r="A87" s="44" t="s">
        <v>150</v>
      </c>
      <c r="B87" s="44"/>
      <c r="C87" s="4">
        <v>44899</v>
      </c>
      <c r="D87" s="4"/>
      <c r="E87" s="4">
        <v>44607</v>
      </c>
      <c r="F87" s="12" t="s">
        <v>160</v>
      </c>
      <c r="G87" s="12">
        <v>12.5</v>
      </c>
      <c r="H87" s="5">
        <v>13.4</v>
      </c>
      <c r="I87" s="5">
        <f>71/30*61</f>
        <v>144.36666666666667</v>
      </c>
      <c r="J87" s="5">
        <v>80</v>
      </c>
      <c r="K87" s="5"/>
      <c r="L87" s="6">
        <v>120</v>
      </c>
      <c r="M87" s="6">
        <v>60</v>
      </c>
      <c r="N87" s="6">
        <f>12.5+(120-72.5)*0.7</f>
        <v>45.75</v>
      </c>
    </row>
    <row r="88" spans="1:14">
      <c r="A88" s="44" t="s">
        <v>151</v>
      </c>
      <c r="B88" s="44"/>
      <c r="C88" s="4">
        <v>44926</v>
      </c>
      <c r="D88" s="4"/>
      <c r="E88" s="4">
        <v>44649</v>
      </c>
      <c r="F88" s="40"/>
      <c r="G88" s="40"/>
      <c r="H88" s="5">
        <v>9.0299999999999994</v>
      </c>
      <c r="I88" s="5">
        <f>25*2+25/30*29</f>
        <v>74.166666666666671</v>
      </c>
      <c r="J88" s="5">
        <v>80</v>
      </c>
      <c r="K88" s="5"/>
      <c r="L88" s="6">
        <v>67.5</v>
      </c>
      <c r="M88" s="6">
        <v>25</v>
      </c>
      <c r="N88" s="6">
        <f>(67.5-25)*0.7</f>
        <v>29.749999999999996</v>
      </c>
    </row>
    <row r="89" spans="1:14">
      <c r="A89" s="44" t="s">
        <v>152</v>
      </c>
      <c r="B89" s="44"/>
      <c r="C89" s="4">
        <v>44852</v>
      </c>
      <c r="D89" s="4"/>
      <c r="E89" s="4">
        <v>44649</v>
      </c>
      <c r="F89" s="40"/>
      <c r="G89" s="40"/>
      <c r="H89" s="5">
        <v>9.0299999999999994</v>
      </c>
      <c r="I89" s="5">
        <f>45*4+45/30*13</f>
        <v>199.5</v>
      </c>
      <c r="J89" s="5">
        <v>80</v>
      </c>
      <c r="K89" s="5"/>
      <c r="L89" s="6">
        <v>67.5</v>
      </c>
      <c r="M89" s="6">
        <v>45</v>
      </c>
      <c r="N89" s="6">
        <f>(L89-M89)*0.7</f>
        <v>15.749999999999998</v>
      </c>
    </row>
    <row r="90" spans="1:14">
      <c r="A90" s="44" t="s">
        <v>153</v>
      </c>
      <c r="B90" s="44"/>
      <c r="C90" s="4">
        <v>44623</v>
      </c>
      <c r="D90" s="4"/>
      <c r="E90" s="4">
        <v>44623</v>
      </c>
      <c r="F90" s="40"/>
      <c r="G90" s="40"/>
      <c r="H90" s="5">
        <v>11.03</v>
      </c>
      <c r="I90" s="5">
        <v>0</v>
      </c>
      <c r="J90" s="5">
        <v>15</v>
      </c>
      <c r="K90" s="5"/>
      <c r="L90" s="6">
        <v>30</v>
      </c>
      <c r="M90" s="6">
        <v>12</v>
      </c>
      <c r="N90" s="6">
        <f>(L90-M90)*0.7</f>
        <v>12.6</v>
      </c>
    </row>
    <row r="91" spans="1:14">
      <c r="A91" s="44" t="s">
        <v>154</v>
      </c>
      <c r="B91" s="44"/>
      <c r="C91" s="4">
        <v>44881</v>
      </c>
      <c r="D91" s="4"/>
      <c r="E91" s="4">
        <v>44628</v>
      </c>
      <c r="F91" s="40"/>
      <c r="G91" s="40"/>
      <c r="H91" s="5">
        <v>9.0299999999999994</v>
      </c>
      <c r="I91" s="5">
        <f>65*3+65/30*22</f>
        <v>242.66666666666666</v>
      </c>
      <c r="J91" s="5">
        <v>95</v>
      </c>
      <c r="K91" s="5"/>
      <c r="L91" s="6">
        <v>112</v>
      </c>
      <c r="M91" s="6">
        <v>65</v>
      </c>
      <c r="N91" s="6">
        <f>(L91-M91)*0.7</f>
        <v>32.9</v>
      </c>
    </row>
    <row r="92" spans="1:14">
      <c r="A92" s="44" t="s">
        <v>155</v>
      </c>
      <c r="B92" s="44"/>
      <c r="C92" s="4">
        <v>44490</v>
      </c>
      <c r="D92" s="4"/>
      <c r="E92" s="4">
        <v>44648</v>
      </c>
      <c r="F92" s="40"/>
      <c r="G92" s="40"/>
      <c r="H92" s="5">
        <v>13.4</v>
      </c>
      <c r="I92" s="5">
        <f>45*5+45/30*7</f>
        <v>235.5</v>
      </c>
      <c r="J92" s="5">
        <v>80</v>
      </c>
      <c r="K92" s="5"/>
      <c r="L92" s="6">
        <v>67.5</v>
      </c>
      <c r="M92" s="6">
        <v>45</v>
      </c>
      <c r="N92" s="6">
        <f>(L92-M92)*0.7</f>
        <v>15.749999999999998</v>
      </c>
    </row>
    <row r="93" spans="1:14">
      <c r="A93" s="52" t="s">
        <v>156</v>
      </c>
      <c r="B93" s="52"/>
      <c r="C93" s="24">
        <v>44489</v>
      </c>
      <c r="D93" s="24"/>
      <c r="E93" s="24">
        <v>44651</v>
      </c>
      <c r="F93" s="48"/>
      <c r="G93" s="48"/>
      <c r="H93" s="25">
        <v>15.46</v>
      </c>
      <c r="I93" s="25">
        <f>50*5+50/10</f>
        <v>255</v>
      </c>
      <c r="J93" s="25">
        <v>145</v>
      </c>
      <c r="K93" s="25"/>
      <c r="L93" s="27">
        <v>125</v>
      </c>
      <c r="M93" s="27">
        <v>50</v>
      </c>
      <c r="N93" s="27">
        <f>(L93-M93)*0.7</f>
        <v>52.5</v>
      </c>
    </row>
    <row r="94" spans="1:14">
      <c r="A94" s="52" t="s">
        <v>157</v>
      </c>
      <c r="B94" s="52"/>
      <c r="C94" s="24">
        <v>44627</v>
      </c>
      <c r="D94" s="24"/>
      <c r="E94" s="24">
        <v>44627</v>
      </c>
      <c r="F94" s="10" t="s">
        <v>161</v>
      </c>
      <c r="G94" s="12">
        <v>10</v>
      </c>
      <c r="H94" s="25">
        <v>15.46</v>
      </c>
      <c r="I94" s="25">
        <v>0</v>
      </c>
      <c r="J94" s="25">
        <v>0</v>
      </c>
      <c r="K94" s="25"/>
      <c r="L94" s="27">
        <v>100</v>
      </c>
      <c r="M94" s="27">
        <v>44</v>
      </c>
      <c r="N94" s="27">
        <f>10+(46)*0.7</f>
        <v>42.199999999999996</v>
      </c>
    </row>
    <row r="95" spans="1:14">
      <c r="A95" s="52" t="s">
        <v>158</v>
      </c>
      <c r="B95" s="52"/>
      <c r="C95" s="24">
        <v>44627</v>
      </c>
      <c r="D95" s="24"/>
      <c r="E95" s="24">
        <v>44627</v>
      </c>
      <c r="F95" s="38" t="s">
        <v>161</v>
      </c>
      <c r="G95" s="54">
        <v>12.5</v>
      </c>
      <c r="H95" s="25">
        <v>15.46</v>
      </c>
      <c r="I95" s="25">
        <v>0</v>
      </c>
      <c r="J95" s="25">
        <v>0</v>
      </c>
      <c r="K95" s="25"/>
      <c r="L95" s="27">
        <v>125</v>
      </c>
      <c r="M95" s="27">
        <v>55</v>
      </c>
      <c r="N95" s="27">
        <f>12.5+(57.5)*0.7</f>
        <v>52.75</v>
      </c>
    </row>
    <row r="96" spans="1:14">
      <c r="A96" s="44" t="s">
        <v>168</v>
      </c>
      <c r="B96" s="44"/>
      <c r="C96" s="4">
        <v>44636</v>
      </c>
      <c r="D96" s="4"/>
      <c r="E96" s="4">
        <v>44659</v>
      </c>
      <c r="F96" s="40"/>
      <c r="G96" s="5"/>
      <c r="H96" s="5">
        <v>13.72</v>
      </c>
      <c r="I96" s="5">
        <f>55/30*24</f>
        <v>44</v>
      </c>
      <c r="J96" s="5">
        <v>80</v>
      </c>
      <c r="K96" s="5"/>
      <c r="L96" s="6">
        <v>120</v>
      </c>
      <c r="M96" s="6">
        <v>55</v>
      </c>
      <c r="N96" s="6">
        <f>10+(110-M96)*0.7</f>
        <v>48.5</v>
      </c>
    </row>
    <row r="97" spans="1:14">
      <c r="A97" s="44" t="s">
        <v>171</v>
      </c>
      <c r="B97" s="44"/>
      <c r="C97" s="4">
        <v>44648</v>
      </c>
      <c r="D97" s="4"/>
      <c r="E97" s="4">
        <v>44734</v>
      </c>
      <c r="F97" s="40"/>
      <c r="G97" s="5"/>
      <c r="H97" s="5">
        <v>13.72</v>
      </c>
      <c r="I97" s="5">
        <f>56/30*84</f>
        <v>156.80000000000001</v>
      </c>
      <c r="J97" s="5">
        <v>95</v>
      </c>
      <c r="K97" s="5"/>
      <c r="L97" s="6">
        <v>140</v>
      </c>
      <c r="M97" s="6">
        <v>56</v>
      </c>
      <c r="N97" s="6">
        <f>(140-56)*0.7</f>
        <v>58.8</v>
      </c>
    </row>
    <row r="98" spans="1:14">
      <c r="A98" s="44" t="s">
        <v>172</v>
      </c>
      <c r="B98" s="44"/>
      <c r="C98" s="4">
        <v>44705</v>
      </c>
      <c r="D98" s="4"/>
      <c r="E98" s="4">
        <v>44715</v>
      </c>
      <c r="F98" s="40"/>
      <c r="G98" s="5"/>
      <c r="H98" s="5">
        <v>10.039999999999999</v>
      </c>
      <c r="I98" s="5">
        <f>25/30*9</f>
        <v>7.5</v>
      </c>
      <c r="J98" s="5"/>
      <c r="K98" s="5"/>
      <c r="L98" s="6">
        <v>50</v>
      </c>
      <c r="M98" s="6">
        <v>25</v>
      </c>
      <c r="N98" s="6">
        <f>(50-25)*0.7</f>
        <v>17.5</v>
      </c>
    </row>
    <row r="99" spans="1:14">
      <c r="A99" s="44" t="s">
        <v>173</v>
      </c>
      <c r="B99" s="44"/>
      <c r="C99" s="4">
        <v>44704</v>
      </c>
      <c r="D99" s="4"/>
      <c r="E99" s="4">
        <v>44721</v>
      </c>
      <c r="F99" s="10" t="s">
        <v>161</v>
      </c>
      <c r="G99" s="56">
        <v>12.5</v>
      </c>
      <c r="H99" s="5">
        <v>13.72</v>
      </c>
      <c r="I99" s="5">
        <f>37/30*16</f>
        <v>19.733333333333334</v>
      </c>
      <c r="J99" s="5">
        <f>50+45</f>
        <v>95</v>
      </c>
      <c r="K99" s="5"/>
      <c r="L99" s="6">
        <v>110</v>
      </c>
      <c r="M99" s="6">
        <v>37</v>
      </c>
      <c r="N99" s="56">
        <f>12.5+(100-37)*0.7</f>
        <v>56.599999999999994</v>
      </c>
    </row>
    <row r="100" spans="1:14">
      <c r="A100" s="44" t="s">
        <v>174</v>
      </c>
      <c r="B100" s="44"/>
      <c r="C100" s="4">
        <v>44715</v>
      </c>
      <c r="D100" s="4"/>
      <c r="E100" s="4">
        <v>44820</v>
      </c>
      <c r="F100" s="10" t="s">
        <v>161</v>
      </c>
      <c r="G100" s="56">
        <v>15</v>
      </c>
      <c r="H100" s="5">
        <v>14.6</v>
      </c>
      <c r="I100" s="5">
        <f>56/30*103</f>
        <v>192.26666666666668</v>
      </c>
      <c r="J100" s="5">
        <v>50</v>
      </c>
      <c r="K100" s="5"/>
      <c r="L100" s="6">
        <f>130</f>
        <v>130</v>
      </c>
      <c r="M100" s="6">
        <v>56</v>
      </c>
      <c r="N100" s="56">
        <f>15+(115-56)*0.7</f>
        <v>56.3</v>
      </c>
    </row>
    <row r="101" spans="1:14">
      <c r="A101" s="44" t="s">
        <v>183</v>
      </c>
      <c r="B101" s="44"/>
      <c r="C101" s="4">
        <v>44749</v>
      </c>
      <c r="D101" s="4">
        <v>44830</v>
      </c>
      <c r="E101" s="4">
        <v>44858</v>
      </c>
      <c r="F101" s="40"/>
      <c r="G101" s="5"/>
      <c r="H101" s="5">
        <v>11.03</v>
      </c>
      <c r="I101" s="5">
        <v>25</v>
      </c>
      <c r="J101" s="5">
        <v>15</v>
      </c>
      <c r="K101" s="5"/>
      <c r="L101" s="6">
        <v>80</v>
      </c>
      <c r="M101" s="6">
        <v>25</v>
      </c>
      <c r="N101" s="6">
        <f>55*0.7</f>
        <v>38.5</v>
      </c>
    </row>
    <row r="102" spans="1:14">
      <c r="A102" s="44" t="s">
        <v>184</v>
      </c>
      <c r="B102" s="44"/>
      <c r="C102" s="4">
        <v>44775</v>
      </c>
      <c r="D102" s="4">
        <v>44810</v>
      </c>
      <c r="E102" s="4">
        <v>44848</v>
      </c>
      <c r="F102" s="40"/>
      <c r="G102" s="5"/>
      <c r="H102" s="5">
        <v>23.38</v>
      </c>
      <c r="I102" s="5">
        <f>100/30*38</f>
        <v>126.66666666666667</v>
      </c>
      <c r="J102" s="5">
        <v>155</v>
      </c>
      <c r="K102" s="5"/>
      <c r="L102" s="6">
        <v>220</v>
      </c>
      <c r="M102" s="6">
        <v>100</v>
      </c>
      <c r="N102" s="6">
        <v>0</v>
      </c>
    </row>
    <row r="103" spans="1:14">
      <c r="A103" s="44" t="s">
        <v>185</v>
      </c>
      <c r="B103" s="44"/>
      <c r="C103" s="4">
        <v>44830</v>
      </c>
      <c r="D103" s="4">
        <v>44852</v>
      </c>
      <c r="E103" s="4">
        <v>44858</v>
      </c>
      <c r="F103" s="10" t="s">
        <v>161</v>
      </c>
      <c r="G103" s="12">
        <v>12.5</v>
      </c>
      <c r="H103" s="5">
        <v>23.38</v>
      </c>
      <c r="I103" s="5">
        <f>54.5/30*6</f>
        <v>10.9</v>
      </c>
      <c r="J103" s="5">
        <v>95</v>
      </c>
      <c r="K103" s="5"/>
      <c r="L103" s="6">
        <v>140</v>
      </c>
      <c r="M103" s="6">
        <v>55.5</v>
      </c>
      <c r="N103" s="6">
        <f>12.5+(127.5-55.5)*0.7</f>
        <v>62.9</v>
      </c>
    </row>
    <row r="104" spans="1:14">
      <c r="A104" s="10" t="s">
        <v>186</v>
      </c>
      <c r="B104" s="10" t="s">
        <v>200</v>
      </c>
      <c r="C104" s="4"/>
      <c r="D104" s="4"/>
      <c r="E104" s="4">
        <v>44881</v>
      </c>
      <c r="F104" s="40"/>
      <c r="G104" s="5"/>
      <c r="H104" s="12">
        <f>1.75+2.9*3</f>
        <v>10.45</v>
      </c>
      <c r="I104" s="5"/>
      <c r="J104" s="5"/>
      <c r="K104" s="5"/>
      <c r="L104" s="6">
        <f>50.7</f>
        <v>50.7</v>
      </c>
      <c r="M104" s="6">
        <f>20.5</f>
        <v>20.5</v>
      </c>
      <c r="N104" s="6">
        <f>(L104-M104)*0.8/30*14</f>
        <v>11.274666666666668</v>
      </c>
    </row>
    <row r="105" spans="1:14">
      <c r="A105" s="10" t="s">
        <v>187</v>
      </c>
      <c r="B105" s="10" t="s">
        <v>200</v>
      </c>
      <c r="C105" s="4"/>
      <c r="D105" s="4"/>
      <c r="E105" s="35">
        <v>44883</v>
      </c>
      <c r="F105" s="40"/>
      <c r="G105" s="5"/>
      <c r="H105" s="5">
        <v>4.6500000000000004</v>
      </c>
      <c r="I105" s="5"/>
      <c r="J105" s="5"/>
      <c r="K105" s="5"/>
      <c r="L105" s="6">
        <v>47.9</v>
      </c>
      <c r="M105" s="6">
        <v>19</v>
      </c>
      <c r="N105" s="6">
        <f>(L105-M105)*0.8/30*12</f>
        <v>9.2480000000000011</v>
      </c>
    </row>
    <row r="106" spans="1:14">
      <c r="A106" s="10" t="s">
        <v>188</v>
      </c>
      <c r="B106" s="10" t="s">
        <v>200</v>
      </c>
      <c r="C106" s="4"/>
      <c r="D106" s="4"/>
      <c r="E106" s="35">
        <v>44890</v>
      </c>
      <c r="F106" s="40"/>
      <c r="G106" s="5"/>
      <c r="H106" s="5">
        <f>4.65</f>
        <v>4.6500000000000004</v>
      </c>
      <c r="I106" s="5"/>
      <c r="J106" s="5"/>
      <c r="K106" s="5"/>
      <c r="L106" s="6">
        <v>18.8</v>
      </c>
      <c r="M106" s="6">
        <f>6.3+3.9</f>
        <v>10.199999999999999</v>
      </c>
      <c r="N106" s="6">
        <f>(L106-M106)*0.8/30*5</f>
        <v>1.1466666666666669</v>
      </c>
    </row>
    <row r="107" spans="1:14">
      <c r="A107" s="10" t="s">
        <v>189</v>
      </c>
      <c r="B107" s="10" t="s">
        <v>200</v>
      </c>
      <c r="C107" s="4"/>
      <c r="D107" s="4"/>
      <c r="E107" s="35">
        <v>44890</v>
      </c>
      <c r="F107" s="40"/>
      <c r="G107" s="5"/>
      <c r="H107" s="5">
        <f>4.65</f>
        <v>4.6500000000000004</v>
      </c>
      <c r="I107" s="5"/>
      <c r="J107" s="5"/>
      <c r="K107" s="5"/>
      <c r="L107" s="6">
        <v>47.7</v>
      </c>
      <c r="M107" s="6">
        <f>30.7+3.9</f>
        <v>34.6</v>
      </c>
      <c r="N107" s="6">
        <f>(L107-M107)*0.8/30*5</f>
        <v>1.746666666666667</v>
      </c>
    </row>
    <row r="108" spans="1:14">
      <c r="A108" s="10" t="s">
        <v>190</v>
      </c>
      <c r="B108" s="44"/>
      <c r="C108" s="4"/>
      <c r="D108" s="4">
        <v>44879</v>
      </c>
      <c r="E108" s="35">
        <v>44887</v>
      </c>
      <c r="F108" s="44" t="s">
        <v>161</v>
      </c>
      <c r="G108" s="56">
        <v>10</v>
      </c>
      <c r="H108" s="5">
        <v>14.6</v>
      </c>
      <c r="I108" s="5">
        <f>34/30*8</f>
        <v>9.0666666666666664</v>
      </c>
      <c r="J108" s="5">
        <v>45</v>
      </c>
      <c r="K108" s="5"/>
      <c r="L108" s="6">
        <v>90</v>
      </c>
      <c r="M108" s="6">
        <v>34</v>
      </c>
      <c r="N108" s="5">
        <f>(L108-M108)*0.7/30*8</f>
        <v>10.453333333333331</v>
      </c>
    </row>
    <row r="109" spans="1:14">
      <c r="A109" s="10" t="s">
        <v>191</v>
      </c>
      <c r="B109" s="10" t="s">
        <v>200</v>
      </c>
      <c r="C109" s="4"/>
      <c r="D109" s="4"/>
      <c r="E109" s="35" t="s">
        <v>192</v>
      </c>
      <c r="F109" s="40"/>
      <c r="G109" s="5"/>
      <c r="H109" s="12">
        <f>5*2.9+3.5</f>
        <v>18</v>
      </c>
      <c r="I109" s="5"/>
      <c r="J109" s="5"/>
      <c r="K109" s="5"/>
      <c r="L109" s="6">
        <v>84.5</v>
      </c>
      <c r="M109" s="6">
        <f>7.1*5</f>
        <v>35.5</v>
      </c>
      <c r="N109" s="6">
        <f>(L109-M109)*0.8/30*8</f>
        <v>10.453333333333335</v>
      </c>
    </row>
    <row r="110" spans="1:14">
      <c r="A110" s="10" t="s">
        <v>193</v>
      </c>
      <c r="B110" s="44"/>
      <c r="C110" s="4">
        <v>44872</v>
      </c>
      <c r="D110" s="4">
        <v>44879</v>
      </c>
      <c r="E110" s="35">
        <v>44882</v>
      </c>
      <c r="F110" s="40"/>
      <c r="G110" s="5"/>
      <c r="H110" s="5">
        <v>10.039999999999999</v>
      </c>
      <c r="I110" s="5">
        <f>25/30*3</f>
        <v>2.5</v>
      </c>
      <c r="J110" s="5"/>
      <c r="K110" s="5"/>
      <c r="L110" s="6">
        <v>40</v>
      </c>
      <c r="M110" s="6">
        <v>25</v>
      </c>
      <c r="N110" s="6">
        <f>(L110-M110)*0.7/30*13</f>
        <v>4.55</v>
      </c>
    </row>
    <row r="111" spans="1:14">
      <c r="A111" s="10" t="s">
        <v>194</v>
      </c>
      <c r="B111" s="10" t="s">
        <v>200</v>
      </c>
      <c r="C111" s="4"/>
      <c r="D111" s="4"/>
      <c r="E111" s="35">
        <v>44888</v>
      </c>
      <c r="F111" s="40"/>
      <c r="G111" s="5"/>
      <c r="H111" s="5">
        <f>1.75+2.9</f>
        <v>4.6500000000000004</v>
      </c>
      <c r="I111" s="5"/>
      <c r="J111" s="5"/>
      <c r="K111" s="5"/>
      <c r="L111" s="6">
        <f>42.9+3.9</f>
        <v>46.8</v>
      </c>
      <c r="M111" s="6">
        <f>30.7+3.9</f>
        <v>34.6</v>
      </c>
      <c r="N111" s="6">
        <f>(L111-M111)*0.8/30*7</f>
        <v>2.277333333333333</v>
      </c>
    </row>
    <row r="112" spans="1:14">
      <c r="A112" s="10" t="s">
        <v>197</v>
      </c>
      <c r="B112" s="44"/>
      <c r="C112" s="4"/>
      <c r="D112" s="4">
        <v>44886</v>
      </c>
      <c r="E112" s="35">
        <v>44895</v>
      </c>
      <c r="F112" s="40"/>
      <c r="G112" s="5"/>
      <c r="H112" s="5">
        <v>11.03</v>
      </c>
      <c r="I112" s="5">
        <f>11/30*9</f>
        <v>3.3</v>
      </c>
      <c r="J112" s="5">
        <v>15</v>
      </c>
      <c r="K112" s="5"/>
      <c r="L112" s="6">
        <f>30</f>
        <v>30</v>
      </c>
      <c r="M112" s="6">
        <f>12</f>
        <v>12</v>
      </c>
      <c r="N112" s="6">
        <f>(L112-M112)*0.7/30*1</f>
        <v>0.42</v>
      </c>
    </row>
    <row r="113" spans="1:14">
      <c r="A113" s="10" t="s">
        <v>195</v>
      </c>
      <c r="B113" s="10" t="s">
        <v>200</v>
      </c>
      <c r="C113" s="4"/>
      <c r="D113" s="4"/>
      <c r="E113" s="35">
        <v>44890</v>
      </c>
      <c r="F113" s="40"/>
      <c r="G113" s="5"/>
      <c r="H113" s="5">
        <f>3.5+2.9*5</f>
        <v>18</v>
      </c>
      <c r="I113" s="5"/>
      <c r="J113" s="5"/>
      <c r="K113" s="5"/>
      <c r="L113" s="6">
        <f>19.9*5</f>
        <v>99.5</v>
      </c>
      <c r="M113" s="6">
        <f>7.1*5</f>
        <v>35.5</v>
      </c>
      <c r="N113" s="6">
        <f>(L113-M113)*0.8/30*5</f>
        <v>8.5333333333333332</v>
      </c>
    </row>
    <row r="114" spans="1:14">
      <c r="A114" s="10" t="s">
        <v>196</v>
      </c>
      <c r="B114" s="10" t="s">
        <v>200</v>
      </c>
      <c r="C114" s="4"/>
      <c r="D114" s="4"/>
      <c r="E114" s="35">
        <v>44890</v>
      </c>
      <c r="F114" s="40"/>
      <c r="G114" s="5"/>
      <c r="H114" s="5">
        <f>1.75+2.9</f>
        <v>4.6500000000000004</v>
      </c>
      <c r="I114" s="5"/>
      <c r="J114" s="5"/>
      <c r="K114" s="5"/>
      <c r="L114" s="6">
        <f>42.9+4.9</f>
        <v>47.8</v>
      </c>
      <c r="M114" s="6">
        <f>30.7+3.9</f>
        <v>34.6</v>
      </c>
      <c r="N114" s="6">
        <f>(L114-M114)*0.8/30*5</f>
        <v>1.7599999999999996</v>
      </c>
    </row>
    <row r="115" spans="1:14">
      <c r="A115" s="28"/>
      <c r="B115" s="28"/>
      <c r="C115" s="36"/>
      <c r="D115" s="36"/>
      <c r="E115" s="36"/>
      <c r="F115" s="28"/>
      <c r="G115" s="28"/>
      <c r="H115" s="30"/>
      <c r="I115" s="28"/>
      <c r="J115" s="30"/>
      <c r="M115" s="8" t="s">
        <v>4</v>
      </c>
      <c r="N115" s="8">
        <f>SUM(N2:N114)</f>
        <v>3814.8233333333351</v>
      </c>
    </row>
    <row r="116" spans="1:14">
      <c r="A116" s="28"/>
      <c r="B116" s="28"/>
      <c r="E116" s="15"/>
      <c r="F116" s="1"/>
      <c r="G116" s="1"/>
      <c r="H116" s="1"/>
      <c r="I116" s="1"/>
      <c r="J116" s="1"/>
      <c r="K116" s="1"/>
      <c r="L116" s="1"/>
      <c r="M116" s="29"/>
      <c r="N116" s="29"/>
    </row>
    <row r="118" spans="1:14">
      <c r="H118" s="30"/>
      <c r="L118" t="s">
        <v>198</v>
      </c>
    </row>
    <row r="119" spans="1:14">
      <c r="I119" s="42"/>
      <c r="L119" t="s">
        <v>181</v>
      </c>
    </row>
    <row r="120" spans="1:14">
      <c r="L120" t="s">
        <v>179</v>
      </c>
    </row>
    <row r="121" spans="1:14">
      <c r="L121" t="s">
        <v>199</v>
      </c>
    </row>
    <row r="122" spans="1:14">
      <c r="L122" t="s">
        <v>206</v>
      </c>
    </row>
  </sheetData>
  <autoFilter ref="A1:P115">
    <sortState ref="A2:O104">
      <sortCondition ref="E1"/>
    </sortState>
  </autoFilter>
  <pageMargins left="0.7" right="0.7" top="0.75" bottom="0.75" header="0.3" footer="0.3"/>
  <pageSetup paperSize="9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>
  <sheetPr filterMode="1"/>
  <dimension ref="A1:P155"/>
  <sheetViews>
    <sheetView topLeftCell="A1590" workbookViewId="0">
      <selection activeCell="N37" sqref="N37"/>
    </sheetView>
  </sheetViews>
  <sheetFormatPr baseColWidth="10" defaultRowHeight="15"/>
  <cols>
    <col min="1" max="1" width="26.5703125" customWidth="1"/>
    <col min="2" max="2" width="14.42578125" customWidth="1"/>
    <col min="3" max="3" width="22.85546875" hidden="1" customWidth="1"/>
    <col min="4" max="4" width="13.5703125" hidden="1" customWidth="1"/>
    <col min="5" max="5" width="0" hidden="1" customWidth="1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3" t="s">
        <v>11</v>
      </c>
      <c r="J1" s="3" t="s">
        <v>36</v>
      </c>
      <c r="K1" s="3" t="s">
        <v>12</v>
      </c>
      <c r="L1" s="3" t="s">
        <v>5</v>
      </c>
      <c r="M1" s="3" t="s">
        <v>7</v>
      </c>
      <c r="N1" s="3" t="s">
        <v>8</v>
      </c>
      <c r="O1" s="14" t="s">
        <v>35</v>
      </c>
    </row>
    <row r="2" spans="1:15" hidden="1">
      <c r="A2" s="10" t="s">
        <v>210</v>
      </c>
      <c r="B2" s="10" t="s">
        <v>200</v>
      </c>
      <c r="C2" s="4"/>
      <c r="D2" s="4">
        <v>44942</v>
      </c>
      <c r="E2" s="35">
        <v>44942</v>
      </c>
      <c r="F2" s="40"/>
      <c r="G2" s="5"/>
      <c r="H2" s="5"/>
      <c r="I2" s="5"/>
      <c r="J2" s="5">
        <f>2.9</f>
        <v>2.9</v>
      </c>
      <c r="K2" s="5"/>
      <c r="L2" s="6">
        <v>89.8</v>
      </c>
      <c r="M2" s="6">
        <f>71.5+3.9</f>
        <v>75.400000000000006</v>
      </c>
      <c r="N2" s="6">
        <f>(L2-M2)*0.8/30*14</f>
        <v>5.3759999999999968</v>
      </c>
    </row>
    <row r="3" spans="1:15" hidden="1">
      <c r="A3" s="10" t="s">
        <v>224</v>
      </c>
      <c r="B3" s="10" t="s">
        <v>200</v>
      </c>
      <c r="C3" s="4"/>
      <c r="D3" s="4"/>
      <c r="E3" s="35">
        <v>44953</v>
      </c>
      <c r="F3" s="40"/>
      <c r="G3" s="5"/>
      <c r="H3" s="5"/>
      <c r="I3" s="5"/>
      <c r="J3" s="5">
        <f>2.9*3</f>
        <v>8.6999999999999993</v>
      </c>
      <c r="K3" s="5"/>
      <c r="L3" s="6">
        <f>16.9*3</f>
        <v>50.699999999999996</v>
      </c>
      <c r="M3" s="59">
        <f>7.1*3</f>
        <v>21.299999999999997</v>
      </c>
      <c r="N3" s="59">
        <f>(L3-M3)*0.8/30*3</f>
        <v>2.3520000000000003</v>
      </c>
    </row>
    <row r="4" spans="1:15" hidden="1">
      <c r="A4" s="44" t="s">
        <v>191</v>
      </c>
      <c r="B4" s="44" t="s">
        <v>200</v>
      </c>
      <c r="C4" s="4"/>
      <c r="D4" s="4"/>
      <c r="E4" s="35" t="s">
        <v>192</v>
      </c>
      <c r="F4" s="40"/>
      <c r="G4" s="5"/>
      <c r="H4" s="12">
        <f>5*2.9+3.5</f>
        <v>18</v>
      </c>
      <c r="I4" s="5"/>
      <c r="J4" s="5"/>
      <c r="K4" s="5"/>
      <c r="L4" s="6">
        <v>84.5</v>
      </c>
      <c r="M4" s="6">
        <f>7.1*5</f>
        <v>35.5</v>
      </c>
      <c r="N4" s="6">
        <f>(L4-M4)*0.8</f>
        <v>39.200000000000003</v>
      </c>
    </row>
    <row r="5" spans="1:15" hidden="1">
      <c r="A5" s="44" t="s">
        <v>191</v>
      </c>
      <c r="B5" s="44" t="s">
        <v>200</v>
      </c>
      <c r="C5" s="4"/>
      <c r="D5" s="4"/>
      <c r="E5" s="35">
        <v>44918</v>
      </c>
      <c r="F5" s="40"/>
      <c r="G5" s="5"/>
      <c r="H5" s="12">
        <f>1.5+2.9*17</f>
        <v>50.8</v>
      </c>
      <c r="I5" s="5"/>
      <c r="J5" s="5"/>
      <c r="K5" s="5"/>
      <c r="L5" s="6">
        <v>287.3</v>
      </c>
      <c r="M5" s="6">
        <v>120.7</v>
      </c>
      <c r="N5" s="6">
        <f>(L5-M5)*0.8</f>
        <v>133.28000000000003</v>
      </c>
    </row>
    <row r="6" spans="1:15" hidden="1">
      <c r="A6" s="10" t="s">
        <v>191</v>
      </c>
      <c r="B6" s="10" t="s">
        <v>200</v>
      </c>
      <c r="C6" s="4"/>
      <c r="D6" s="4">
        <v>44936</v>
      </c>
      <c r="E6" s="35">
        <v>44936</v>
      </c>
      <c r="F6" s="40"/>
      <c r="G6" s="5"/>
      <c r="H6" s="5"/>
      <c r="I6" s="5"/>
      <c r="J6" s="5">
        <f>2.9*2</f>
        <v>5.8</v>
      </c>
      <c r="K6" s="5"/>
      <c r="L6" s="6">
        <f>16.9*2</f>
        <v>33.799999999999997</v>
      </c>
      <c r="M6" s="6">
        <f>7.1*2</f>
        <v>14.2</v>
      </c>
      <c r="N6" s="6">
        <f>(L6-M6)*0.8/30*20</f>
        <v>10.453333333333333</v>
      </c>
    </row>
    <row r="7" spans="1:15" hidden="1">
      <c r="A7" s="10" t="s">
        <v>207</v>
      </c>
      <c r="B7" s="10" t="s">
        <v>200</v>
      </c>
      <c r="C7" s="4"/>
      <c r="D7" s="4">
        <v>44937</v>
      </c>
      <c r="E7" s="35">
        <v>44937</v>
      </c>
      <c r="F7" s="40"/>
      <c r="G7" s="5"/>
      <c r="H7" s="5"/>
      <c r="I7" s="5"/>
      <c r="J7" s="5">
        <f>2.9*2</f>
        <v>5.8</v>
      </c>
      <c r="K7" s="5"/>
      <c r="L7" s="6">
        <f>29.8</f>
        <v>29.8</v>
      </c>
      <c r="M7" s="6">
        <f>6.85*2</f>
        <v>13.7</v>
      </c>
      <c r="N7" s="6">
        <f>(L7-M7)*0.8/30*19</f>
        <v>8.1573333333333338</v>
      </c>
    </row>
    <row r="8" spans="1:15" hidden="1">
      <c r="A8" s="10" t="s">
        <v>211</v>
      </c>
      <c r="B8" s="10" t="s">
        <v>200</v>
      </c>
      <c r="C8" s="4"/>
      <c r="D8" s="4">
        <v>44942</v>
      </c>
      <c r="E8" s="35">
        <v>44942</v>
      </c>
      <c r="F8" s="40"/>
      <c r="G8" s="5"/>
      <c r="H8" s="5"/>
      <c r="I8" s="5"/>
      <c r="J8" s="5">
        <f>2.9+0.75</f>
        <v>3.65</v>
      </c>
      <c r="K8" s="5"/>
      <c r="L8" s="6">
        <v>14.8</v>
      </c>
      <c r="M8" s="6">
        <f>3.5+3.9</f>
        <v>7.4</v>
      </c>
      <c r="N8" s="6">
        <f>(L8-M8)*0.8/30*14</f>
        <v>2.762666666666667</v>
      </c>
    </row>
    <row r="9" spans="1:15" hidden="1">
      <c r="A9" s="44" t="s">
        <v>204</v>
      </c>
      <c r="B9" s="44" t="s">
        <v>200</v>
      </c>
      <c r="C9" s="4"/>
      <c r="D9" s="4"/>
      <c r="E9" s="35">
        <v>44918</v>
      </c>
      <c r="F9" s="40"/>
      <c r="G9" s="5"/>
      <c r="H9" s="5">
        <f>0.75+2.9</f>
        <v>3.65</v>
      </c>
      <c r="I9" s="5"/>
      <c r="J9" s="5"/>
      <c r="K9" s="5"/>
      <c r="L9" s="6">
        <v>17.899999999999999</v>
      </c>
      <c r="M9" s="6">
        <v>8.9</v>
      </c>
      <c r="N9" s="6">
        <f>(L9-M9)*0.8</f>
        <v>7.1999999999999993</v>
      </c>
    </row>
    <row r="10" spans="1:15" hidden="1">
      <c r="A10" s="44" t="s">
        <v>202</v>
      </c>
      <c r="B10" s="44" t="s">
        <v>200</v>
      </c>
      <c r="C10" s="4"/>
      <c r="D10" s="4"/>
      <c r="E10" s="35">
        <v>44896</v>
      </c>
      <c r="F10" s="40"/>
      <c r="G10" s="5"/>
      <c r="H10" s="5">
        <f>0.75+2.9*2</f>
        <v>6.55</v>
      </c>
      <c r="I10" s="5"/>
      <c r="J10" s="5"/>
      <c r="K10" s="5"/>
      <c r="L10" s="6">
        <v>60</v>
      </c>
      <c r="M10" s="6">
        <f>19.5*2</f>
        <v>39</v>
      </c>
      <c r="N10" s="6">
        <f>(L10-M10)*0.8</f>
        <v>16.8</v>
      </c>
    </row>
    <row r="11" spans="1:15" hidden="1">
      <c r="A11" s="10" t="s">
        <v>218</v>
      </c>
      <c r="B11" s="10" t="s">
        <v>200</v>
      </c>
      <c r="C11" s="4"/>
      <c r="D11" s="4"/>
      <c r="E11" s="35">
        <v>44935</v>
      </c>
      <c r="F11" s="40"/>
      <c r="G11" s="5"/>
      <c r="H11" s="5"/>
      <c r="I11" s="5"/>
      <c r="J11" s="5">
        <v>2.9</v>
      </c>
      <c r="K11" s="5"/>
      <c r="L11" s="6">
        <v>29</v>
      </c>
      <c r="M11" s="6">
        <v>13.1</v>
      </c>
      <c r="N11" s="6">
        <f>(L11-M11)*0.8/30*21</f>
        <v>8.9040000000000017</v>
      </c>
    </row>
    <row r="12" spans="1:15" hidden="1">
      <c r="A12" s="10" t="s">
        <v>58</v>
      </c>
      <c r="B12" s="10" t="s">
        <v>200</v>
      </c>
      <c r="C12" s="4"/>
      <c r="D12" s="4">
        <v>44935</v>
      </c>
      <c r="E12" s="35">
        <v>44935</v>
      </c>
      <c r="F12" s="40"/>
      <c r="G12" s="5"/>
      <c r="H12" s="5"/>
      <c r="I12" s="5"/>
      <c r="J12" s="5">
        <f>2.9*2</f>
        <v>5.8</v>
      </c>
      <c r="K12" s="5"/>
      <c r="L12" s="6">
        <f>21.5*2</f>
        <v>43</v>
      </c>
      <c r="M12" s="6">
        <f>7.9*2</f>
        <v>15.8</v>
      </c>
      <c r="N12" s="6">
        <f>(L12-M12)*0.8/30*21</f>
        <v>15.232000000000001</v>
      </c>
    </row>
    <row r="13" spans="1:15" hidden="1">
      <c r="A13" s="10" t="s">
        <v>212</v>
      </c>
      <c r="B13" s="10" t="s">
        <v>200</v>
      </c>
      <c r="C13" s="4"/>
      <c r="D13" s="4">
        <v>44942</v>
      </c>
      <c r="E13" s="35">
        <v>44942</v>
      </c>
      <c r="F13" s="40"/>
      <c r="G13" s="5"/>
      <c r="H13" s="5"/>
      <c r="I13" s="5"/>
      <c r="J13" s="5">
        <v>3.9</v>
      </c>
      <c r="K13" s="5"/>
      <c r="L13" s="6">
        <f>47.8</f>
        <v>47.8</v>
      </c>
      <c r="M13" s="6">
        <f>30.7+3.9</f>
        <v>34.6</v>
      </c>
      <c r="N13" s="6">
        <f>(L13-M13)*0.8/30*14</f>
        <v>4.927999999999999</v>
      </c>
    </row>
    <row r="14" spans="1:15" hidden="1">
      <c r="A14" s="44" t="s">
        <v>186</v>
      </c>
      <c r="B14" s="44" t="s">
        <v>200</v>
      </c>
      <c r="C14" s="4"/>
      <c r="D14" s="4"/>
      <c r="E14" s="4">
        <v>44881</v>
      </c>
      <c r="F14" s="40"/>
      <c r="G14" s="5"/>
      <c r="H14" s="12">
        <f>1.75+2.9*3</f>
        <v>10.45</v>
      </c>
      <c r="I14" s="5"/>
      <c r="J14" s="5"/>
      <c r="K14" s="5"/>
      <c r="L14" s="6">
        <f>50.7</f>
        <v>50.7</v>
      </c>
      <c r="M14" s="6">
        <f>20.5</f>
        <v>20.5</v>
      </c>
      <c r="N14" s="6">
        <f>(L14-M14)*0.8</f>
        <v>24.160000000000004</v>
      </c>
    </row>
    <row r="15" spans="1:15" hidden="1">
      <c r="A15" s="10" t="s">
        <v>216</v>
      </c>
      <c r="B15" s="10" t="s">
        <v>200</v>
      </c>
      <c r="C15" s="4"/>
      <c r="D15" s="4"/>
      <c r="E15" s="35">
        <v>44949</v>
      </c>
      <c r="F15" s="40"/>
      <c r="G15" s="5"/>
      <c r="H15" s="5">
        <v>1.5</v>
      </c>
      <c r="I15" s="5"/>
      <c r="J15" s="5">
        <f>2.9*6</f>
        <v>17.399999999999999</v>
      </c>
      <c r="K15" s="5"/>
      <c r="L15" s="6">
        <f>100.4</f>
        <v>100.4</v>
      </c>
      <c r="M15" s="6">
        <f>4.5+9.2+7.1*4</f>
        <v>42.099999999999994</v>
      </c>
      <c r="N15" s="6">
        <f>(L15-M15)*0.8/30*7</f>
        <v>10.882666666666669</v>
      </c>
    </row>
    <row r="16" spans="1:15" hidden="1">
      <c r="A16" s="44" t="s">
        <v>189</v>
      </c>
      <c r="B16" s="44" t="s">
        <v>200</v>
      </c>
      <c r="C16" s="4"/>
      <c r="D16" s="4"/>
      <c r="E16" s="35">
        <v>44886</v>
      </c>
      <c r="F16" s="40"/>
      <c r="G16" s="5"/>
      <c r="H16" s="5">
        <f>4.65</f>
        <v>4.6500000000000004</v>
      </c>
      <c r="I16" s="5"/>
      <c r="J16" s="5"/>
      <c r="K16" s="5"/>
      <c r="L16" s="6">
        <v>47.7</v>
      </c>
      <c r="M16" s="6">
        <f>30.7+3.9</f>
        <v>34.6</v>
      </c>
      <c r="N16" s="6">
        <f>(L16-M16)*0.8</f>
        <v>10.480000000000002</v>
      </c>
    </row>
    <row r="17" spans="1:14" hidden="1">
      <c r="A17" s="10" t="s">
        <v>88</v>
      </c>
      <c r="B17" s="10" t="s">
        <v>200</v>
      </c>
      <c r="C17" s="4"/>
      <c r="D17" s="4">
        <v>44928</v>
      </c>
      <c r="E17" s="35">
        <v>44928</v>
      </c>
      <c r="F17" s="40"/>
      <c r="G17" s="5"/>
      <c r="H17" s="5"/>
      <c r="I17" s="5"/>
      <c r="J17" s="5">
        <f>2.9</f>
        <v>2.9</v>
      </c>
      <c r="K17" s="5"/>
      <c r="L17" s="6">
        <v>84.9</v>
      </c>
      <c r="M17" s="6">
        <v>71.5</v>
      </c>
      <c r="N17" s="6">
        <f>(L17-M17)*0.8/30*28</f>
        <v>10.00533333333334</v>
      </c>
    </row>
    <row r="18" spans="1:14" hidden="1">
      <c r="A18" s="44" t="s">
        <v>10</v>
      </c>
      <c r="B18" s="44" t="s">
        <v>200</v>
      </c>
      <c r="C18" s="4"/>
      <c r="D18" s="4"/>
      <c r="E18" s="35">
        <v>44921</v>
      </c>
      <c r="F18" s="40"/>
      <c r="G18" s="5"/>
      <c r="H18" s="5">
        <f>9.03+2.9*103</f>
        <v>307.72999999999996</v>
      </c>
      <c r="I18" s="5"/>
      <c r="J18" s="5"/>
      <c r="K18" s="5"/>
      <c r="L18" s="6">
        <f>11.5*10+10*93</f>
        <v>1045</v>
      </c>
      <c r="M18" s="6">
        <f>4.5*93+6.85*10</f>
        <v>487</v>
      </c>
      <c r="N18" s="6">
        <f>(L18-M18)*0.8</f>
        <v>446.40000000000003</v>
      </c>
    </row>
    <row r="19" spans="1:14" hidden="1">
      <c r="A19" s="44" t="s">
        <v>188</v>
      </c>
      <c r="B19" s="44" t="s">
        <v>200</v>
      </c>
      <c r="C19" s="4"/>
      <c r="D19" s="4"/>
      <c r="E19" s="35">
        <v>44886</v>
      </c>
      <c r="F19" s="40"/>
      <c r="G19" s="5"/>
      <c r="H19" s="5">
        <f>4.65</f>
        <v>4.6500000000000004</v>
      </c>
      <c r="I19" s="5"/>
      <c r="J19" s="5"/>
      <c r="K19" s="5"/>
      <c r="L19" s="6">
        <v>18.8</v>
      </c>
      <c r="M19" s="6">
        <f>6.3+3.9</f>
        <v>10.199999999999999</v>
      </c>
      <c r="N19" s="6">
        <f>(L19-M19)*0.8</f>
        <v>6.8800000000000017</v>
      </c>
    </row>
    <row r="20" spans="1:14" hidden="1">
      <c r="A20" s="52" t="s">
        <v>203</v>
      </c>
      <c r="B20" s="52" t="s">
        <v>200</v>
      </c>
      <c r="C20" s="4"/>
      <c r="D20" s="4"/>
      <c r="E20" s="35">
        <v>44901</v>
      </c>
      <c r="F20" s="40"/>
      <c r="G20" s="5"/>
      <c r="H20" s="5">
        <f>0.75+2.9</f>
        <v>3.65</v>
      </c>
      <c r="I20" s="5"/>
      <c r="J20" s="5"/>
      <c r="K20" s="5"/>
      <c r="L20" s="6">
        <v>10</v>
      </c>
      <c r="M20" s="6">
        <f>5.3</f>
        <v>5.3</v>
      </c>
      <c r="N20" s="6">
        <f>(L20-M20)*0.8</f>
        <v>3.7600000000000002</v>
      </c>
    </row>
    <row r="21" spans="1:14" hidden="1">
      <c r="A21" s="10" t="s">
        <v>223</v>
      </c>
      <c r="B21" s="10" t="s">
        <v>200</v>
      </c>
      <c r="C21" s="4"/>
      <c r="D21" s="4"/>
      <c r="E21" s="35">
        <v>44957</v>
      </c>
      <c r="F21" s="40"/>
      <c r="G21" s="5"/>
      <c r="H21" s="5"/>
      <c r="I21" s="5"/>
      <c r="J21" s="5">
        <f>3*2.9</f>
        <v>8.6999999999999993</v>
      </c>
      <c r="K21" s="5"/>
      <c r="L21" s="6">
        <f>14.9+9.9*2</f>
        <v>34.700000000000003</v>
      </c>
      <c r="M21" s="59">
        <f>7+6.95</f>
        <v>13.95</v>
      </c>
      <c r="N21" s="59">
        <f>(L21-M21)*0.8/30*1</f>
        <v>0.55333333333333345</v>
      </c>
    </row>
    <row r="22" spans="1:14" hidden="1">
      <c r="A22" s="10" t="s">
        <v>219</v>
      </c>
      <c r="B22" s="10" t="s">
        <v>200</v>
      </c>
      <c r="C22" s="4"/>
      <c r="D22" s="4"/>
      <c r="E22" s="35">
        <v>44931</v>
      </c>
      <c r="F22" s="40"/>
      <c r="G22" s="5"/>
      <c r="H22" s="5"/>
      <c r="I22" s="5"/>
      <c r="J22" s="5">
        <f>2.9*2</f>
        <v>5.8</v>
      </c>
      <c r="K22" s="5"/>
      <c r="L22" s="6">
        <f>21.8</f>
        <v>21.8</v>
      </c>
      <c r="M22" s="6">
        <f>3.5+4.5</f>
        <v>8</v>
      </c>
      <c r="N22" s="6">
        <f>(L22-M22)*0.8/30*25</f>
        <v>9.2000000000000011</v>
      </c>
    </row>
    <row r="23" spans="1:14" hidden="1">
      <c r="A23" s="44" t="s">
        <v>205</v>
      </c>
      <c r="B23" s="44" t="s">
        <v>200</v>
      </c>
      <c r="C23" s="4"/>
      <c r="D23" s="4"/>
      <c r="E23" s="35">
        <v>44921</v>
      </c>
      <c r="F23" s="40"/>
      <c r="G23" s="5"/>
      <c r="H23" s="5">
        <f>0.75+2.9</f>
        <v>3.65</v>
      </c>
      <c r="I23" s="5"/>
      <c r="J23" s="5"/>
      <c r="K23" s="5"/>
      <c r="L23" s="6">
        <v>14.9</v>
      </c>
      <c r="M23" s="6">
        <v>6.85</v>
      </c>
      <c r="N23" s="6">
        <f>(L23-M23)*0.8</f>
        <v>6.4400000000000013</v>
      </c>
    </row>
    <row r="24" spans="1:14" hidden="1">
      <c r="A24" s="10" t="s">
        <v>205</v>
      </c>
      <c r="B24" s="10" t="s">
        <v>200</v>
      </c>
      <c r="C24" s="4"/>
      <c r="D24" s="4">
        <v>44935</v>
      </c>
      <c r="E24" s="35">
        <v>44935</v>
      </c>
      <c r="F24" s="40"/>
      <c r="G24" s="5"/>
      <c r="H24" s="5"/>
      <c r="I24" s="5"/>
      <c r="J24" s="5">
        <f>2.9+2.9</f>
        <v>5.8</v>
      </c>
      <c r="K24" s="5"/>
      <c r="L24" s="6">
        <v>13.9</v>
      </c>
      <c r="M24" s="6">
        <f>6.3</f>
        <v>6.3</v>
      </c>
      <c r="N24" s="6">
        <f>(L24-M24)*0.8/30*21</f>
        <v>4.2560000000000002</v>
      </c>
    </row>
    <row r="25" spans="1:14" hidden="1">
      <c r="A25" s="44" t="s">
        <v>195</v>
      </c>
      <c r="B25" s="44" t="s">
        <v>200</v>
      </c>
      <c r="C25" s="4"/>
      <c r="D25" s="4"/>
      <c r="E25" s="35">
        <v>44890</v>
      </c>
      <c r="F25" s="40"/>
      <c r="G25" s="5"/>
      <c r="H25" s="5">
        <f>3.5+2.9*5</f>
        <v>18</v>
      </c>
      <c r="I25" s="5"/>
      <c r="J25" s="5"/>
      <c r="K25" s="5"/>
      <c r="L25" s="6">
        <f>19.9*5</f>
        <v>99.5</v>
      </c>
      <c r="M25" s="6">
        <f>7.1*5</f>
        <v>35.5</v>
      </c>
      <c r="N25" s="6">
        <f>(L25-M25)*0.8</f>
        <v>51.2</v>
      </c>
    </row>
    <row r="26" spans="1:14" hidden="1">
      <c r="A26" s="10" t="s">
        <v>90</v>
      </c>
      <c r="B26" s="10" t="s">
        <v>200</v>
      </c>
      <c r="C26" s="4"/>
      <c r="D26" s="4"/>
      <c r="E26" s="35">
        <v>44957</v>
      </c>
      <c r="F26" s="40"/>
      <c r="G26" s="5"/>
      <c r="H26" s="5"/>
      <c r="I26" s="5"/>
      <c r="J26" s="5">
        <f>2.9</f>
        <v>2.9</v>
      </c>
      <c r="K26" s="5"/>
      <c r="L26" s="6">
        <v>47.8</v>
      </c>
      <c r="M26" s="70">
        <f>34.6</f>
        <v>34.6</v>
      </c>
      <c r="N26" s="70">
        <f>(L26-M26)*0.8/30*1</f>
        <v>0.35199999999999992</v>
      </c>
    </row>
    <row r="27" spans="1:14" hidden="1">
      <c r="A27" s="10" t="s">
        <v>215</v>
      </c>
      <c r="B27" s="10" t="s">
        <v>200</v>
      </c>
      <c r="C27" s="4"/>
      <c r="D27" s="4">
        <v>44944</v>
      </c>
      <c r="E27" s="35">
        <v>44944</v>
      </c>
      <c r="F27" s="40"/>
      <c r="G27" s="5"/>
      <c r="H27" s="5"/>
      <c r="I27" s="5"/>
      <c r="J27" s="5">
        <f>2.9*3</f>
        <v>8.6999999999999993</v>
      </c>
      <c r="K27" s="5"/>
      <c r="L27" s="6">
        <v>37.5</v>
      </c>
      <c r="M27" s="18">
        <f>6.85*3</f>
        <v>20.549999999999997</v>
      </c>
      <c r="N27" s="18">
        <f>(L27-M27)*0.8/30*12</f>
        <v>5.4240000000000013</v>
      </c>
    </row>
    <row r="28" spans="1:14" hidden="1">
      <c r="A28" s="10" t="s">
        <v>208</v>
      </c>
      <c r="B28" s="10" t="s">
        <v>200</v>
      </c>
      <c r="C28" s="4"/>
      <c r="D28" s="4">
        <v>44935</v>
      </c>
      <c r="E28" s="35">
        <v>44935</v>
      </c>
      <c r="F28" s="40"/>
      <c r="G28" s="5"/>
      <c r="H28" s="5"/>
      <c r="I28" s="5"/>
      <c r="J28" s="5">
        <v>6.8</v>
      </c>
      <c r="K28" s="5"/>
      <c r="L28" s="6">
        <v>35.799999999999997</v>
      </c>
      <c r="M28" s="18">
        <f>8.9*2</f>
        <v>17.8</v>
      </c>
      <c r="N28" s="18">
        <f>(L28-M28)*0.8/30*21</f>
        <v>10.079999999999998</v>
      </c>
    </row>
    <row r="29" spans="1:14" hidden="1">
      <c r="A29" s="44" t="s">
        <v>201</v>
      </c>
      <c r="B29" s="44" t="s">
        <v>200</v>
      </c>
      <c r="C29" s="4"/>
      <c r="D29" s="4"/>
      <c r="E29" s="35">
        <v>44909</v>
      </c>
      <c r="F29" s="40"/>
      <c r="G29" s="5"/>
      <c r="H29" s="5">
        <f>0.75+2.9</f>
        <v>3.65</v>
      </c>
      <c r="I29" s="5"/>
      <c r="J29" s="5"/>
      <c r="K29" s="5"/>
      <c r="L29" s="6">
        <v>25.9</v>
      </c>
      <c r="M29" s="18">
        <v>16</v>
      </c>
      <c r="N29" s="18">
        <f>(L29-M29)*0.8</f>
        <v>7.919999999999999</v>
      </c>
    </row>
    <row r="30" spans="1:14" hidden="1">
      <c r="A30" s="44" t="s">
        <v>196</v>
      </c>
      <c r="B30" s="44" t="s">
        <v>200</v>
      </c>
      <c r="C30" s="4"/>
      <c r="D30" s="4"/>
      <c r="E30" s="35">
        <v>44890</v>
      </c>
      <c r="F30" s="40"/>
      <c r="G30" s="5"/>
      <c r="H30" s="5">
        <f>1.75+2.9</f>
        <v>4.6500000000000004</v>
      </c>
      <c r="I30" s="5"/>
      <c r="J30" s="5"/>
      <c r="K30" s="5"/>
      <c r="L30" s="6">
        <f>42.9+4.9</f>
        <v>47.8</v>
      </c>
      <c r="M30" s="6">
        <f>30.7+3.9</f>
        <v>34.6</v>
      </c>
      <c r="N30" s="6">
        <f>(L30-M30)*0.8</f>
        <v>10.559999999999997</v>
      </c>
    </row>
    <row r="31" spans="1:14" hidden="1">
      <c r="A31" s="10" t="s">
        <v>222</v>
      </c>
      <c r="B31" s="10" t="s">
        <v>200</v>
      </c>
      <c r="C31" s="4"/>
      <c r="D31" s="4"/>
      <c r="E31" s="35">
        <v>44950</v>
      </c>
      <c r="F31" s="40"/>
      <c r="G31" s="5"/>
      <c r="H31" s="5"/>
      <c r="I31" s="5"/>
      <c r="J31" s="5">
        <f>2.9</f>
        <v>2.9</v>
      </c>
      <c r="K31" s="5"/>
      <c r="L31" s="6">
        <v>25.9</v>
      </c>
      <c r="M31" s="59">
        <f>16</f>
        <v>16</v>
      </c>
      <c r="N31" s="59">
        <f>(L31-M31)*0.8/30*6</f>
        <v>1.5839999999999996</v>
      </c>
    </row>
    <row r="32" spans="1:14" hidden="1">
      <c r="A32" s="10" t="s">
        <v>217</v>
      </c>
      <c r="B32" s="10" t="s">
        <v>200</v>
      </c>
      <c r="C32" s="4"/>
      <c r="D32" s="4"/>
      <c r="E32" s="35">
        <v>44942</v>
      </c>
      <c r="F32" s="40"/>
      <c r="G32" s="5"/>
      <c r="H32" s="5"/>
      <c r="I32" s="5"/>
      <c r="J32" s="5">
        <v>2.9</v>
      </c>
      <c r="K32" s="5"/>
      <c r="L32" s="6">
        <v>29</v>
      </c>
      <c r="M32" s="6">
        <v>13.1</v>
      </c>
      <c r="N32" s="6">
        <f>(L32-M32)*0.8/30*14</f>
        <v>5.9360000000000008</v>
      </c>
    </row>
    <row r="33" spans="1:14" hidden="1">
      <c r="A33" s="10" t="s">
        <v>124</v>
      </c>
      <c r="B33" s="10" t="s">
        <v>200</v>
      </c>
      <c r="C33" s="4"/>
      <c r="D33" s="4">
        <v>44938</v>
      </c>
      <c r="E33" s="35">
        <v>44938</v>
      </c>
      <c r="F33" s="40"/>
      <c r="G33" s="5"/>
      <c r="H33" s="5"/>
      <c r="I33" s="5"/>
      <c r="J33" s="5">
        <f>21*2.9+1.5</f>
        <v>62.4</v>
      </c>
      <c r="K33" s="5"/>
      <c r="L33" s="6">
        <f>16*13.5+5*19.9</f>
        <v>315.5</v>
      </c>
      <c r="M33" s="6">
        <f>16*4.5+5*7.1</f>
        <v>107.5</v>
      </c>
      <c r="N33" s="6">
        <f>(L33-M33)*0.8/30*18</f>
        <v>99.84</v>
      </c>
    </row>
    <row r="34" spans="1:14" hidden="1">
      <c r="A34" s="10" t="s">
        <v>124</v>
      </c>
      <c r="B34" s="10" t="s">
        <v>200</v>
      </c>
      <c r="C34" s="4"/>
      <c r="D34" s="4">
        <v>44952</v>
      </c>
      <c r="E34" s="35">
        <v>44952</v>
      </c>
      <c r="F34" s="40"/>
      <c r="G34" s="5"/>
      <c r="H34" s="5"/>
      <c r="I34" s="5"/>
      <c r="J34" s="5">
        <f>21*2.9</f>
        <v>60.9</v>
      </c>
      <c r="K34" s="5"/>
      <c r="L34" s="6">
        <f>4*13.5+2*19.9+29</f>
        <v>122.8</v>
      </c>
      <c r="M34" s="6">
        <f>4*4.5+2*7.1+13.1</f>
        <v>45.300000000000004</v>
      </c>
      <c r="N34" s="6">
        <f>(L34-M34)*0.8/30*4</f>
        <v>8.2666666666666675</v>
      </c>
    </row>
    <row r="35" spans="1:14" hidden="1">
      <c r="A35" s="44" t="s">
        <v>187</v>
      </c>
      <c r="B35" s="44" t="s">
        <v>200</v>
      </c>
      <c r="C35" s="4"/>
      <c r="D35" s="4"/>
      <c r="E35" s="35">
        <v>44883</v>
      </c>
      <c r="F35" s="40"/>
      <c r="G35" s="5"/>
      <c r="H35" s="5">
        <v>4.6500000000000004</v>
      </c>
      <c r="I35" s="5"/>
      <c r="J35" s="5"/>
      <c r="K35" s="5"/>
      <c r="L35" s="6">
        <v>47.9</v>
      </c>
      <c r="M35" s="6">
        <v>19</v>
      </c>
      <c r="N35" s="6">
        <f>(L35-M35)*0.8</f>
        <v>23.12</v>
      </c>
    </row>
    <row r="36" spans="1:14" hidden="1">
      <c r="A36" s="44" t="s">
        <v>16</v>
      </c>
      <c r="B36" s="44" t="s">
        <v>200</v>
      </c>
      <c r="C36" s="4"/>
      <c r="D36" s="4"/>
      <c r="E36" s="35">
        <v>612</v>
      </c>
      <c r="F36" s="40"/>
      <c r="G36" s="5"/>
      <c r="H36" s="5">
        <f>0.75+2.9</f>
        <v>3.65</v>
      </c>
      <c r="I36" s="5"/>
      <c r="J36" s="5"/>
      <c r="K36" s="5"/>
      <c r="L36" s="6">
        <f>25.9+4.9</f>
        <v>30.799999999999997</v>
      </c>
      <c r="M36" s="6">
        <f>16+3.9</f>
        <v>19.899999999999999</v>
      </c>
      <c r="N36" s="6">
        <f>(L36-M36)*0.8</f>
        <v>8.7199999999999989</v>
      </c>
    </row>
    <row r="37" spans="1:14">
      <c r="A37" s="2" t="s">
        <v>10</v>
      </c>
      <c r="B37" s="2"/>
      <c r="C37" s="4">
        <v>41852</v>
      </c>
      <c r="D37" s="4"/>
      <c r="E37" s="4">
        <v>41852</v>
      </c>
      <c r="F37" s="5"/>
      <c r="G37" s="49"/>
      <c r="H37" s="5">
        <v>10</v>
      </c>
      <c r="I37" s="5"/>
      <c r="J37" s="5"/>
      <c r="K37" s="5">
        <f>F37+H37+J37</f>
        <v>10</v>
      </c>
      <c r="L37" s="6">
        <v>40</v>
      </c>
      <c r="M37" s="6">
        <v>25</v>
      </c>
      <c r="N37" s="56">
        <f t="shared" ref="N37:N70" si="0">(L37-M37)*0.7</f>
        <v>10.5</v>
      </c>
    </row>
    <row r="38" spans="1:14">
      <c r="A38" s="2" t="s">
        <v>17</v>
      </c>
      <c r="B38" s="2"/>
      <c r="C38" s="4"/>
      <c r="D38" s="4"/>
      <c r="E38" s="4">
        <v>42209</v>
      </c>
      <c r="F38" s="5"/>
      <c r="G38" s="49"/>
      <c r="H38" s="5"/>
      <c r="I38" s="5"/>
      <c r="J38" s="5"/>
      <c r="K38" s="5"/>
      <c r="L38" s="6">
        <v>90</v>
      </c>
      <c r="M38" s="6">
        <v>25</v>
      </c>
      <c r="N38" s="56">
        <f t="shared" si="0"/>
        <v>45.5</v>
      </c>
    </row>
    <row r="39" spans="1:14">
      <c r="A39" s="2" t="s">
        <v>15</v>
      </c>
      <c r="B39" s="2"/>
      <c r="C39" s="4">
        <v>42272</v>
      </c>
      <c r="D39" s="4"/>
      <c r="E39" s="4">
        <v>42275</v>
      </c>
      <c r="F39" s="5">
        <v>50</v>
      </c>
      <c r="G39" s="49"/>
      <c r="H39" s="5"/>
      <c r="I39" s="5">
        <f>25/30*3</f>
        <v>2.5</v>
      </c>
      <c r="J39" s="5"/>
      <c r="K39" s="5">
        <f>F39+H39+J39</f>
        <v>50</v>
      </c>
      <c r="L39" s="6">
        <v>40</v>
      </c>
      <c r="M39" s="6">
        <v>25</v>
      </c>
      <c r="N39" s="56">
        <f t="shared" si="0"/>
        <v>10.5</v>
      </c>
    </row>
    <row r="40" spans="1:14">
      <c r="A40" s="2" t="s">
        <v>18</v>
      </c>
      <c r="B40" s="2"/>
      <c r="C40" s="2"/>
      <c r="D40" s="2"/>
      <c r="E40" s="4">
        <v>42335</v>
      </c>
      <c r="F40" s="5"/>
      <c r="G40" s="49"/>
      <c r="H40" s="5"/>
      <c r="I40" s="5"/>
      <c r="J40" s="5"/>
      <c r="K40" s="5"/>
      <c r="L40" s="6">
        <v>90</v>
      </c>
      <c r="M40" s="6">
        <v>25</v>
      </c>
      <c r="N40" s="84">
        <f t="shared" si="0"/>
        <v>45.5</v>
      </c>
    </row>
    <row r="41" spans="1:14">
      <c r="A41" s="2" t="s">
        <v>16</v>
      </c>
      <c r="B41" s="2"/>
      <c r="C41" s="2"/>
      <c r="D41" s="2"/>
      <c r="E41" s="4">
        <v>42396</v>
      </c>
      <c r="F41" s="5"/>
      <c r="G41" s="49"/>
      <c r="H41" s="5"/>
      <c r="I41" s="5"/>
      <c r="J41" s="5"/>
      <c r="K41" s="5"/>
      <c r="L41" s="6">
        <v>90</v>
      </c>
      <c r="M41" s="6">
        <v>25</v>
      </c>
      <c r="N41" s="56">
        <f t="shared" si="0"/>
        <v>45.5</v>
      </c>
    </row>
    <row r="42" spans="1:14">
      <c r="A42" s="2" t="s">
        <v>22</v>
      </c>
      <c r="B42" s="2"/>
      <c r="C42" s="4">
        <v>42546</v>
      </c>
      <c r="D42" s="4"/>
      <c r="E42" s="4">
        <v>42571</v>
      </c>
      <c r="F42" s="5"/>
      <c r="G42" s="49"/>
      <c r="H42" s="5">
        <f>6.9+8.5</f>
        <v>15.4</v>
      </c>
      <c r="I42" s="5">
        <f>25*25/30</f>
        <v>20.833333333333332</v>
      </c>
      <c r="J42" s="5"/>
      <c r="K42" s="5"/>
      <c r="L42" s="6">
        <v>120</v>
      </c>
      <c r="M42" s="6">
        <v>25</v>
      </c>
      <c r="N42" s="86">
        <f t="shared" si="0"/>
        <v>66.5</v>
      </c>
    </row>
    <row r="43" spans="1:14">
      <c r="A43" s="2" t="s">
        <v>23</v>
      </c>
      <c r="B43" s="2"/>
      <c r="C43" s="4">
        <v>42560</v>
      </c>
      <c r="D43" s="4"/>
      <c r="E43" s="4">
        <v>42571</v>
      </c>
      <c r="F43" s="5"/>
      <c r="G43" s="49"/>
      <c r="H43" s="5">
        <v>8.5</v>
      </c>
      <c r="I43" s="5">
        <f>25*41/30</f>
        <v>34.166666666666664</v>
      </c>
      <c r="J43" s="5"/>
      <c r="K43" s="5"/>
      <c r="L43" s="6">
        <v>107.5</v>
      </c>
      <c r="M43" s="6">
        <v>25</v>
      </c>
      <c r="N43" s="56">
        <f t="shared" si="0"/>
        <v>57.749999999999993</v>
      </c>
    </row>
    <row r="44" spans="1:14">
      <c r="A44" s="2" t="s">
        <v>24</v>
      </c>
      <c r="B44" s="2"/>
      <c r="C44" s="4">
        <v>42530</v>
      </c>
      <c r="D44" s="4"/>
      <c r="E44" s="4">
        <v>42579</v>
      </c>
      <c r="F44" s="5"/>
      <c r="G44" s="49"/>
      <c r="H44" s="5">
        <f>8.5+6.9</f>
        <v>15.4</v>
      </c>
      <c r="I44" s="5">
        <f>25*52/30</f>
        <v>43.333333333333336</v>
      </c>
      <c r="J44" s="5"/>
      <c r="K44" s="5"/>
      <c r="L44" s="6">
        <v>90</v>
      </c>
      <c r="M44" s="6">
        <v>25</v>
      </c>
      <c r="N44" s="56">
        <f t="shared" si="0"/>
        <v>45.5</v>
      </c>
    </row>
    <row r="45" spans="1:14">
      <c r="A45" s="2" t="s">
        <v>26</v>
      </c>
      <c r="B45" s="2"/>
      <c r="C45" s="4">
        <v>42633</v>
      </c>
      <c r="D45" s="4"/>
      <c r="E45" s="4">
        <v>42644</v>
      </c>
      <c r="F45" s="5"/>
      <c r="G45" s="49"/>
      <c r="H45" s="5">
        <v>8.17</v>
      </c>
      <c r="I45" s="5">
        <f>25/30*10</f>
        <v>8.3333333333333339</v>
      </c>
      <c r="J45" s="5"/>
      <c r="K45" s="5"/>
      <c r="L45" s="6">
        <v>70</v>
      </c>
      <c r="M45" s="6">
        <v>25</v>
      </c>
      <c r="N45" s="56">
        <f t="shared" si="0"/>
        <v>31.499999999999996</v>
      </c>
    </row>
    <row r="46" spans="1:14">
      <c r="A46" s="2" t="s">
        <v>27</v>
      </c>
      <c r="B46" s="73"/>
      <c r="C46" s="31">
        <v>42656</v>
      </c>
      <c r="D46" s="31"/>
      <c r="E46" s="4">
        <v>42705</v>
      </c>
      <c r="F46" s="5"/>
      <c r="G46" s="49"/>
      <c r="H46" s="5">
        <v>8.17</v>
      </c>
      <c r="I46" s="5">
        <f>M46/30*47</f>
        <v>39.166666666666671</v>
      </c>
      <c r="J46" s="5"/>
      <c r="K46" s="5"/>
      <c r="L46" s="6">
        <v>40</v>
      </c>
      <c r="M46" s="6">
        <v>25</v>
      </c>
      <c r="N46" s="56">
        <f t="shared" si="0"/>
        <v>10.5</v>
      </c>
    </row>
    <row r="47" spans="1:14">
      <c r="A47" s="2" t="s">
        <v>29</v>
      </c>
      <c r="B47" s="2"/>
      <c r="C47" s="4">
        <v>42683</v>
      </c>
      <c r="D47" s="4"/>
      <c r="E47" s="4">
        <v>42718</v>
      </c>
      <c r="F47" s="5"/>
      <c r="G47" s="49"/>
      <c r="H47" s="5">
        <v>8.9700000000000006</v>
      </c>
      <c r="I47" s="5">
        <f>M47/30*35</f>
        <v>42</v>
      </c>
      <c r="J47" s="5"/>
      <c r="K47" s="5"/>
      <c r="L47" s="6">
        <f>105</f>
        <v>105</v>
      </c>
      <c r="M47" s="6">
        <v>36</v>
      </c>
      <c r="N47" s="56">
        <f t="shared" si="0"/>
        <v>48.3</v>
      </c>
    </row>
    <row r="48" spans="1:14">
      <c r="A48" s="2" t="s">
        <v>28</v>
      </c>
      <c r="B48" s="2"/>
      <c r="C48" s="4">
        <v>42711</v>
      </c>
      <c r="D48" s="4"/>
      <c r="E48" s="4">
        <v>42734</v>
      </c>
      <c r="F48" s="5"/>
      <c r="G48" s="49"/>
      <c r="H48" s="5">
        <v>8.17</v>
      </c>
      <c r="I48" s="5">
        <f>M48/30*23</f>
        <v>19.166666666666668</v>
      </c>
      <c r="J48" s="5"/>
      <c r="K48" s="5"/>
      <c r="L48" s="6">
        <v>40</v>
      </c>
      <c r="M48" s="6">
        <v>25</v>
      </c>
      <c r="N48" s="56">
        <f t="shared" si="0"/>
        <v>10.5</v>
      </c>
    </row>
    <row r="49" spans="1:15">
      <c r="A49" s="2" t="s">
        <v>30</v>
      </c>
      <c r="B49" s="2"/>
      <c r="C49" s="4">
        <v>42732</v>
      </c>
      <c r="D49" s="4"/>
      <c r="E49" s="4">
        <v>42759</v>
      </c>
      <c r="F49" s="5"/>
      <c r="G49" s="49"/>
      <c r="H49" s="5">
        <v>18.8</v>
      </c>
      <c r="I49" s="5">
        <f>M49/30*27</f>
        <v>23.400000000000002</v>
      </c>
      <c r="J49" s="5"/>
      <c r="K49" s="5"/>
      <c r="L49" s="6">
        <v>90</v>
      </c>
      <c r="M49" s="6">
        <v>26</v>
      </c>
      <c r="N49" s="56">
        <f t="shared" si="0"/>
        <v>44.8</v>
      </c>
    </row>
    <row r="50" spans="1:15">
      <c r="A50" s="2" t="s">
        <v>31</v>
      </c>
      <c r="B50" s="2"/>
      <c r="C50" s="4">
        <v>42735</v>
      </c>
      <c r="D50" s="4"/>
      <c r="E50" s="4">
        <v>42782</v>
      </c>
      <c r="F50" s="5">
        <v>50</v>
      </c>
      <c r="G50" s="49"/>
      <c r="H50" s="5">
        <v>20.63</v>
      </c>
      <c r="I50" s="5">
        <f>M50/30*46</f>
        <v>42.933333333333337</v>
      </c>
      <c r="J50" s="5"/>
      <c r="K50" s="5"/>
      <c r="L50" s="6">
        <v>92</v>
      </c>
      <c r="M50" s="6">
        <v>28</v>
      </c>
      <c r="N50" s="56">
        <f t="shared" si="0"/>
        <v>44.8</v>
      </c>
    </row>
    <row r="51" spans="1:15">
      <c r="A51" s="2" t="s">
        <v>32</v>
      </c>
      <c r="B51" s="2"/>
      <c r="C51" s="4">
        <v>42857</v>
      </c>
      <c r="D51" s="4"/>
      <c r="E51" s="4">
        <v>42866</v>
      </c>
      <c r="F51" s="5"/>
      <c r="G51" s="49"/>
      <c r="H51" s="5"/>
      <c r="I51" s="5">
        <f>23/30*9</f>
        <v>6.9</v>
      </c>
      <c r="J51" s="5">
        <f>60*0.7</f>
        <v>42</v>
      </c>
      <c r="K51" s="5"/>
      <c r="L51" s="6">
        <v>60</v>
      </c>
      <c r="M51" s="6">
        <v>23</v>
      </c>
      <c r="N51" s="56">
        <f t="shared" si="0"/>
        <v>25.9</v>
      </c>
    </row>
    <row r="52" spans="1:15">
      <c r="A52" s="2" t="s">
        <v>37</v>
      </c>
      <c r="B52" s="2"/>
      <c r="C52" s="4">
        <v>42891</v>
      </c>
      <c r="D52" s="4"/>
      <c r="E52" s="4">
        <v>42915</v>
      </c>
      <c r="F52" s="5"/>
      <c r="G52" s="49"/>
      <c r="H52" s="5">
        <v>6.83</v>
      </c>
      <c r="I52" s="5">
        <f>24/30*24</f>
        <v>19.200000000000003</v>
      </c>
      <c r="J52" s="5"/>
      <c r="K52" s="5"/>
      <c r="L52" s="6">
        <v>70</v>
      </c>
      <c r="M52" s="6">
        <v>24</v>
      </c>
      <c r="N52" s="56">
        <f t="shared" si="0"/>
        <v>32.199999999999996</v>
      </c>
    </row>
    <row r="53" spans="1:15">
      <c r="A53" s="2" t="s">
        <v>39</v>
      </c>
      <c r="B53" s="2"/>
      <c r="C53" s="4">
        <v>43081</v>
      </c>
      <c r="D53" s="4"/>
      <c r="E53" s="4">
        <v>43109</v>
      </c>
      <c r="F53" s="5"/>
      <c r="G53" s="49"/>
      <c r="H53" s="5">
        <v>9.83</v>
      </c>
      <c r="I53" s="5">
        <f>36/30*28</f>
        <v>33.6</v>
      </c>
      <c r="J53" s="5"/>
      <c r="K53" s="5"/>
      <c r="L53" s="6">
        <v>120</v>
      </c>
      <c r="M53" s="6">
        <v>36</v>
      </c>
      <c r="N53" s="56">
        <f t="shared" si="0"/>
        <v>58.8</v>
      </c>
    </row>
    <row r="54" spans="1:15">
      <c r="A54" s="22" t="s">
        <v>56</v>
      </c>
      <c r="B54" s="22"/>
      <c r="C54" s="4">
        <v>43361</v>
      </c>
      <c r="D54" s="4"/>
      <c r="E54" s="4">
        <v>43132</v>
      </c>
      <c r="F54" s="5"/>
      <c r="G54" s="49"/>
      <c r="H54" s="5">
        <v>14.11</v>
      </c>
      <c r="I54" s="5">
        <f>25*4+25/30*12</f>
        <v>110</v>
      </c>
      <c r="J54" s="5"/>
      <c r="K54" s="5"/>
      <c r="L54" s="6">
        <v>75</v>
      </c>
      <c r="M54" s="6">
        <v>25</v>
      </c>
      <c r="N54" s="56">
        <f t="shared" si="0"/>
        <v>35</v>
      </c>
    </row>
    <row r="55" spans="1:15">
      <c r="A55" s="2" t="s">
        <v>40</v>
      </c>
      <c r="B55" s="2"/>
      <c r="C55" s="4">
        <v>43106</v>
      </c>
      <c r="D55" s="4"/>
      <c r="E55" s="4">
        <v>43146</v>
      </c>
      <c r="F55" s="5"/>
      <c r="G55" s="49"/>
      <c r="H55" s="5">
        <v>8.2899999999999991</v>
      </c>
      <c r="I55" s="5">
        <f>25/30*39</f>
        <v>32.5</v>
      </c>
      <c r="J55" s="5"/>
      <c r="K55" s="5"/>
      <c r="L55" s="6">
        <v>70</v>
      </c>
      <c r="M55" s="6">
        <v>26</v>
      </c>
      <c r="N55" s="56">
        <f t="shared" si="0"/>
        <v>30.799999999999997</v>
      </c>
    </row>
    <row r="56" spans="1:15">
      <c r="A56" s="2" t="s">
        <v>44</v>
      </c>
      <c r="B56" s="2"/>
      <c r="C56" s="4">
        <v>43196</v>
      </c>
      <c r="D56" s="4"/>
      <c r="E56" s="4">
        <v>43250</v>
      </c>
      <c r="F56" s="5"/>
      <c r="G56" s="49"/>
      <c r="H56" s="5">
        <v>13.78</v>
      </c>
      <c r="I56" s="5">
        <f>25*24/30+25</f>
        <v>45</v>
      </c>
      <c r="J56" s="5"/>
      <c r="K56" s="5"/>
      <c r="L56" s="6">
        <f>60</f>
        <v>60</v>
      </c>
      <c r="M56" s="6">
        <v>25</v>
      </c>
      <c r="N56" s="56">
        <f t="shared" si="0"/>
        <v>24.5</v>
      </c>
    </row>
    <row r="57" spans="1:15">
      <c r="A57" s="22" t="s">
        <v>47</v>
      </c>
      <c r="B57" s="22"/>
      <c r="C57" s="4">
        <v>43355</v>
      </c>
      <c r="D57" s="4"/>
      <c r="E57" s="4">
        <v>43277</v>
      </c>
      <c r="F57" s="5"/>
      <c r="G57" s="49"/>
      <c r="H57" s="5">
        <v>19.98</v>
      </c>
      <c r="I57" s="5">
        <f>36*2+36/30*16</f>
        <v>91.2</v>
      </c>
      <c r="J57" s="5"/>
      <c r="K57" s="5"/>
      <c r="L57" s="6">
        <v>105</v>
      </c>
      <c r="M57" s="6">
        <v>36</v>
      </c>
      <c r="N57" s="56">
        <f t="shared" si="0"/>
        <v>48.3</v>
      </c>
    </row>
    <row r="58" spans="1:15">
      <c r="A58" s="22" t="s">
        <v>48</v>
      </c>
      <c r="B58" s="22"/>
      <c r="C58" s="4">
        <v>43367</v>
      </c>
      <c r="D58" s="4"/>
      <c r="E58" s="4">
        <v>43284</v>
      </c>
      <c r="F58" s="5"/>
      <c r="G58" s="49"/>
      <c r="H58" s="5">
        <v>9.1</v>
      </c>
      <c r="I58" s="5">
        <f>25+25/30*27</f>
        <v>47.5</v>
      </c>
      <c r="J58" s="5"/>
      <c r="K58" s="5"/>
      <c r="L58" s="6">
        <v>75</v>
      </c>
      <c r="M58" s="6">
        <v>25</v>
      </c>
      <c r="N58" s="56">
        <f t="shared" si="0"/>
        <v>35</v>
      </c>
    </row>
    <row r="59" spans="1:15">
      <c r="A59" s="2" t="s">
        <v>45</v>
      </c>
      <c r="B59" s="2"/>
      <c r="C59" s="4"/>
      <c r="D59" s="4"/>
      <c r="E59" s="4">
        <v>43286</v>
      </c>
      <c r="F59" s="5"/>
      <c r="G59" s="49"/>
      <c r="H59" s="5">
        <v>11.56</v>
      </c>
      <c r="I59" s="5"/>
      <c r="J59" s="5"/>
      <c r="K59" s="5"/>
      <c r="L59" s="6">
        <v>150</v>
      </c>
      <c r="M59" s="6">
        <v>76</v>
      </c>
      <c r="N59" s="56">
        <f t="shared" si="0"/>
        <v>51.8</v>
      </c>
      <c r="O59" s="20"/>
    </row>
    <row r="60" spans="1:15">
      <c r="A60" s="22" t="s">
        <v>49</v>
      </c>
      <c r="B60" s="22"/>
      <c r="C60" s="4">
        <v>43367</v>
      </c>
      <c r="D60" s="4"/>
      <c r="E60" s="4">
        <v>43291</v>
      </c>
      <c r="F60" s="5"/>
      <c r="G60" s="49"/>
      <c r="H60" s="5">
        <v>10.039999999999999</v>
      </c>
      <c r="I60" s="5">
        <f>50+25/30*14</f>
        <v>61.666666666666671</v>
      </c>
      <c r="J60" s="5"/>
      <c r="K60" s="5"/>
      <c r="L60" s="6">
        <v>70</v>
      </c>
      <c r="M60" s="6">
        <v>25</v>
      </c>
      <c r="N60" s="56">
        <f t="shared" si="0"/>
        <v>31.499999999999996</v>
      </c>
    </row>
    <row r="61" spans="1:15">
      <c r="A61" s="22" t="s">
        <v>51</v>
      </c>
      <c r="B61" s="22"/>
      <c r="C61" s="4">
        <v>43358</v>
      </c>
      <c r="D61" s="4"/>
      <c r="E61" s="4">
        <v>43291</v>
      </c>
      <c r="F61" s="5"/>
      <c r="G61" s="49"/>
      <c r="H61" s="5">
        <v>10.039999999999999</v>
      </c>
      <c r="I61" s="5">
        <f>50+25/30*5</f>
        <v>54.166666666666664</v>
      </c>
      <c r="J61" s="5"/>
      <c r="K61" s="5"/>
      <c r="L61" s="6">
        <v>75</v>
      </c>
      <c r="M61" s="6">
        <v>25</v>
      </c>
      <c r="N61" s="56">
        <f t="shared" si="0"/>
        <v>35</v>
      </c>
    </row>
    <row r="62" spans="1:15">
      <c r="A62" s="39" t="s">
        <v>52</v>
      </c>
      <c r="B62" s="28"/>
      <c r="C62" s="15">
        <v>43367</v>
      </c>
      <c r="D62" s="15"/>
      <c r="E62" s="15">
        <v>43308</v>
      </c>
      <c r="F62" s="5"/>
      <c r="G62" s="34"/>
      <c r="H62" s="37">
        <v>10.86</v>
      </c>
      <c r="I62" s="5">
        <f>25+25/30*27</f>
        <v>47.5</v>
      </c>
      <c r="J62" s="5"/>
      <c r="K62" s="5"/>
      <c r="L62" s="17">
        <v>75</v>
      </c>
      <c r="M62" s="26">
        <v>25</v>
      </c>
      <c r="N62" s="87">
        <f t="shared" si="0"/>
        <v>35</v>
      </c>
    </row>
    <row r="63" spans="1:15">
      <c r="A63" s="22" t="s">
        <v>50</v>
      </c>
      <c r="B63" s="22"/>
      <c r="C63" s="4">
        <v>43367</v>
      </c>
      <c r="D63" s="4"/>
      <c r="E63" s="4">
        <v>43312</v>
      </c>
      <c r="F63" s="5"/>
      <c r="G63" s="49"/>
      <c r="H63" s="5">
        <v>10.86</v>
      </c>
      <c r="I63" s="5">
        <f>25+25/30*24</f>
        <v>45</v>
      </c>
      <c r="J63" s="5"/>
      <c r="K63" s="5"/>
      <c r="L63" s="6">
        <v>70</v>
      </c>
      <c r="M63" s="6">
        <v>25</v>
      </c>
      <c r="N63" s="56">
        <f t="shared" si="0"/>
        <v>31.499999999999996</v>
      </c>
    </row>
    <row r="64" spans="1:15">
      <c r="A64" s="22" t="s">
        <v>55</v>
      </c>
      <c r="B64" s="22"/>
      <c r="C64" s="4">
        <v>43363</v>
      </c>
      <c r="D64" s="4"/>
      <c r="E64" s="4">
        <v>43440</v>
      </c>
      <c r="F64" s="5"/>
      <c r="G64" s="49"/>
      <c r="H64" s="5">
        <v>14.11</v>
      </c>
      <c r="I64" s="5">
        <f>25*2+25*16/30</f>
        <v>63.333333333333336</v>
      </c>
      <c r="J64" s="5"/>
      <c r="K64" s="5"/>
      <c r="L64" s="6">
        <v>75</v>
      </c>
      <c r="M64" s="6">
        <v>25</v>
      </c>
      <c r="N64" s="56">
        <f t="shared" si="0"/>
        <v>35</v>
      </c>
    </row>
    <row r="65" spans="1:15">
      <c r="A65" s="22" t="s">
        <v>54</v>
      </c>
      <c r="B65" s="22"/>
      <c r="C65" s="4">
        <v>43167</v>
      </c>
      <c r="D65" s="4"/>
      <c r="E65" s="4">
        <v>43455</v>
      </c>
      <c r="F65" s="5"/>
      <c r="G65" s="49"/>
      <c r="H65" s="5">
        <v>10.86</v>
      </c>
      <c r="I65" s="5">
        <f>9*25+25*13/30</f>
        <v>235.83333333333334</v>
      </c>
      <c r="J65" s="5"/>
      <c r="K65" s="5"/>
      <c r="L65" s="6">
        <v>90</v>
      </c>
      <c r="M65" s="6">
        <v>36</v>
      </c>
      <c r="N65" s="56">
        <f t="shared" si="0"/>
        <v>37.799999999999997</v>
      </c>
    </row>
    <row r="66" spans="1:15">
      <c r="A66" s="22" t="s">
        <v>57</v>
      </c>
      <c r="B66" s="22"/>
      <c r="C66" s="4">
        <v>43478</v>
      </c>
      <c r="D66" s="4"/>
      <c r="E66" s="4">
        <v>43536</v>
      </c>
      <c r="F66" s="5"/>
      <c r="G66" s="49"/>
      <c r="H66" s="5">
        <v>10.86</v>
      </c>
      <c r="I66" s="5">
        <v>25</v>
      </c>
      <c r="J66" s="5"/>
      <c r="K66" s="5"/>
      <c r="L66" s="6">
        <v>70</v>
      </c>
      <c r="M66" s="6">
        <v>25</v>
      </c>
      <c r="N66" s="56">
        <f t="shared" si="0"/>
        <v>31.499999999999996</v>
      </c>
    </row>
    <row r="67" spans="1:15">
      <c r="A67" s="22" t="s">
        <v>59</v>
      </c>
      <c r="B67" s="22"/>
      <c r="C67" s="4">
        <v>43528</v>
      </c>
      <c r="D67" s="4"/>
      <c r="E67" s="4">
        <v>43538</v>
      </c>
      <c r="F67" s="5"/>
      <c r="G67" s="49"/>
      <c r="H67" s="5">
        <v>14.92</v>
      </c>
      <c r="I67" s="5">
        <f>77/30*10</f>
        <v>25.666666666666668</v>
      </c>
      <c r="J67" s="5"/>
      <c r="K67" s="5"/>
      <c r="L67" s="6">
        <v>169</v>
      </c>
      <c r="M67" s="6">
        <f>64+11+2</f>
        <v>77</v>
      </c>
      <c r="N67" s="56">
        <f t="shared" si="0"/>
        <v>64.399999999999991</v>
      </c>
    </row>
    <row r="68" spans="1:15">
      <c r="A68" s="22" t="s">
        <v>58</v>
      </c>
      <c r="B68" s="22"/>
      <c r="C68" s="4">
        <v>43534</v>
      </c>
      <c r="D68" s="4"/>
      <c r="E68" s="4">
        <v>43542</v>
      </c>
      <c r="F68" s="5"/>
      <c r="G68" s="49"/>
      <c r="H68" s="5">
        <f>10.86*2</f>
        <v>21.72</v>
      </c>
      <c r="I68" s="5">
        <v>0</v>
      </c>
      <c r="J68" s="5"/>
      <c r="K68" s="5"/>
      <c r="L68" s="6">
        <v>120</v>
      </c>
      <c r="M68" s="6">
        <f>60+11</f>
        <v>71</v>
      </c>
      <c r="N68" s="56">
        <f t="shared" si="0"/>
        <v>34.299999999999997</v>
      </c>
    </row>
    <row r="69" spans="1:15">
      <c r="A69" s="22" t="s">
        <v>61</v>
      </c>
      <c r="B69" s="22"/>
      <c r="C69" s="4">
        <v>43482</v>
      </c>
      <c r="D69" s="4"/>
      <c r="E69" s="4">
        <v>43542</v>
      </c>
      <c r="F69" s="5"/>
      <c r="G69" s="49"/>
      <c r="H69" s="5">
        <v>11.1</v>
      </c>
      <c r="I69" s="5">
        <f>25*2</f>
        <v>50</v>
      </c>
      <c r="J69" s="5"/>
      <c r="K69" s="5"/>
      <c r="L69" s="6">
        <v>70</v>
      </c>
      <c r="M69" s="6">
        <v>26</v>
      </c>
      <c r="N69" s="56">
        <f t="shared" si="0"/>
        <v>30.799999999999997</v>
      </c>
    </row>
    <row r="70" spans="1:15">
      <c r="A70" s="22" t="s">
        <v>63</v>
      </c>
      <c r="B70" s="22"/>
      <c r="C70" s="4">
        <v>43593</v>
      </c>
      <c r="D70" s="4"/>
      <c r="E70" s="4">
        <v>43605</v>
      </c>
      <c r="F70" s="5"/>
      <c r="G70" s="49"/>
      <c r="H70" s="5">
        <f>10.86*2+20</f>
        <v>41.72</v>
      </c>
      <c r="I70" s="5">
        <f>18/30*12</f>
        <v>7.1999999999999993</v>
      </c>
      <c r="J70" s="5"/>
      <c r="K70" s="5"/>
      <c r="L70" s="6">
        <v>100</v>
      </c>
      <c r="M70" s="6">
        <f>11+7</f>
        <v>18</v>
      </c>
      <c r="N70" s="56">
        <f t="shared" si="0"/>
        <v>57.4</v>
      </c>
    </row>
    <row r="71" spans="1:15">
      <c r="A71" s="22" t="s">
        <v>67</v>
      </c>
      <c r="B71" s="22"/>
      <c r="C71" s="4">
        <v>43600</v>
      </c>
      <c r="D71" s="4"/>
      <c r="E71" s="4">
        <v>43629</v>
      </c>
      <c r="F71" s="5"/>
      <c r="G71" s="49"/>
      <c r="H71" s="5">
        <f>10.86*2</f>
        <v>21.72</v>
      </c>
      <c r="I71" s="5">
        <f>22/30*58</f>
        <v>42.533333333333331</v>
      </c>
      <c r="J71" s="5">
        <v>50</v>
      </c>
      <c r="K71" s="5">
        <f>H71+I71+J71</f>
        <v>114.25333333333333</v>
      </c>
      <c r="L71" s="6">
        <v>60</v>
      </c>
      <c r="M71" s="6">
        <v>25</v>
      </c>
      <c r="N71" s="56">
        <v>0</v>
      </c>
    </row>
    <row r="72" spans="1:15">
      <c r="A72" s="22" t="s">
        <v>66</v>
      </c>
      <c r="B72" s="22"/>
      <c r="C72" s="4">
        <v>43600</v>
      </c>
      <c r="D72" s="4"/>
      <c r="E72" s="4">
        <v>43629</v>
      </c>
      <c r="F72" s="5"/>
      <c r="G72" s="49"/>
      <c r="H72" s="5">
        <f>10.86</f>
        <v>10.86</v>
      </c>
      <c r="I72" s="5">
        <f>39/30*58</f>
        <v>75.400000000000006</v>
      </c>
      <c r="J72" s="5"/>
      <c r="K72" s="5">
        <f>H72+I72</f>
        <v>86.26</v>
      </c>
      <c r="L72" s="6">
        <v>110</v>
      </c>
      <c r="M72" s="6">
        <f>25+11+3</f>
        <v>39</v>
      </c>
      <c r="N72" s="56">
        <v>0</v>
      </c>
      <c r="O72" t="s">
        <v>73</v>
      </c>
    </row>
    <row r="73" spans="1:15">
      <c r="A73" s="22" t="s">
        <v>64</v>
      </c>
      <c r="B73" s="22"/>
      <c r="C73" s="4">
        <v>43627</v>
      </c>
      <c r="D73" s="4"/>
      <c r="E73" s="4">
        <v>43629</v>
      </c>
      <c r="F73" s="5"/>
      <c r="G73" s="49"/>
      <c r="H73" s="5">
        <v>10.86</v>
      </c>
      <c r="I73" s="5">
        <f>25/30*2</f>
        <v>1.6666666666666667</v>
      </c>
      <c r="J73" s="5"/>
      <c r="K73" s="5">
        <f>H73+I73</f>
        <v>12.526666666666666</v>
      </c>
      <c r="L73" s="6">
        <v>75</v>
      </c>
      <c r="M73" s="6">
        <v>33</v>
      </c>
      <c r="N73" s="56">
        <f t="shared" ref="N73:N86" si="1">(L73-M73)*0.7</f>
        <v>29.4</v>
      </c>
    </row>
    <row r="74" spans="1:15">
      <c r="A74" s="22" t="s">
        <v>65</v>
      </c>
      <c r="B74" s="22"/>
      <c r="C74" s="4">
        <v>43622</v>
      </c>
      <c r="D74" s="4"/>
      <c r="E74" s="4">
        <v>43650</v>
      </c>
      <c r="F74" s="5"/>
      <c r="G74" s="49"/>
      <c r="H74" s="5">
        <v>10.86</v>
      </c>
      <c r="I74" s="5"/>
      <c r="J74" s="5"/>
      <c r="K74" s="5"/>
      <c r="L74" s="6">
        <v>120</v>
      </c>
      <c r="M74" s="6">
        <v>60</v>
      </c>
      <c r="N74" s="56">
        <f t="shared" si="1"/>
        <v>42</v>
      </c>
    </row>
    <row r="75" spans="1:15">
      <c r="A75" s="22" t="s">
        <v>71</v>
      </c>
      <c r="B75" s="22"/>
      <c r="C75" s="4">
        <v>43635</v>
      </c>
      <c r="D75" s="4"/>
      <c r="E75" s="4">
        <v>43662</v>
      </c>
      <c r="F75" s="5"/>
      <c r="G75" s="49"/>
      <c r="H75" s="5">
        <f>10.86*2</f>
        <v>21.72</v>
      </c>
      <c r="I75" s="5"/>
      <c r="J75" s="5"/>
      <c r="K75" s="5"/>
      <c r="L75" s="6">
        <v>70</v>
      </c>
      <c r="M75" s="6">
        <v>26</v>
      </c>
      <c r="N75" s="56">
        <f t="shared" si="1"/>
        <v>30.799999999999997</v>
      </c>
      <c r="O75" t="s">
        <v>72</v>
      </c>
    </row>
    <row r="76" spans="1:15">
      <c r="A76" s="2" t="s">
        <v>75</v>
      </c>
      <c r="B76" s="2"/>
      <c r="C76" s="4">
        <v>43656</v>
      </c>
      <c r="D76" s="4"/>
      <c r="E76" s="4">
        <v>43711</v>
      </c>
      <c r="F76" s="5"/>
      <c r="G76" s="49"/>
      <c r="H76" s="5">
        <v>10.86</v>
      </c>
      <c r="I76" s="5">
        <f>36/30*48</f>
        <v>57.599999999999994</v>
      </c>
      <c r="J76" s="5"/>
      <c r="K76" s="5"/>
      <c r="L76" s="6">
        <v>105</v>
      </c>
      <c r="M76" s="6">
        <v>36</v>
      </c>
      <c r="N76" s="56">
        <f t="shared" si="1"/>
        <v>48.3</v>
      </c>
    </row>
    <row r="77" spans="1:15">
      <c r="A77" s="2" t="s">
        <v>76</v>
      </c>
      <c r="B77" s="2"/>
      <c r="C77" s="4">
        <v>43677</v>
      </c>
      <c r="D77" s="4"/>
      <c r="E77" s="4">
        <v>43713</v>
      </c>
      <c r="F77" s="5"/>
      <c r="G77" s="49"/>
      <c r="H77" s="5">
        <v>24.06</v>
      </c>
      <c r="I77" s="5">
        <f>80/30*35</f>
        <v>93.333333333333329</v>
      </c>
      <c r="J77" s="5">
        <v>40</v>
      </c>
      <c r="K77" s="5"/>
      <c r="L77" s="6">
        <v>149</v>
      </c>
      <c r="M77" s="6">
        <v>80</v>
      </c>
      <c r="N77" s="56">
        <f t="shared" si="1"/>
        <v>48.3</v>
      </c>
      <c r="O77" t="s">
        <v>79</v>
      </c>
    </row>
    <row r="78" spans="1:15">
      <c r="A78" s="2" t="s">
        <v>81</v>
      </c>
      <c r="B78" s="2"/>
      <c r="C78" s="4">
        <v>43788</v>
      </c>
      <c r="D78" s="4"/>
      <c r="E78" s="4">
        <v>43865</v>
      </c>
      <c r="F78" s="5"/>
      <c r="G78" s="49"/>
      <c r="H78" s="5">
        <v>9.14</v>
      </c>
      <c r="I78" s="5">
        <f>25/30*45</f>
        <v>37.5</v>
      </c>
      <c r="J78" s="5"/>
      <c r="K78" s="5"/>
      <c r="L78" s="6">
        <v>90</v>
      </c>
      <c r="M78" s="6">
        <v>25</v>
      </c>
      <c r="N78" s="56">
        <f t="shared" si="1"/>
        <v>45.5</v>
      </c>
    </row>
    <row r="79" spans="1:15">
      <c r="A79" s="22" t="s">
        <v>87</v>
      </c>
      <c r="B79" s="22"/>
      <c r="C79" s="35">
        <v>43878</v>
      </c>
      <c r="D79" s="35"/>
      <c r="E79" s="35">
        <v>43892</v>
      </c>
      <c r="F79" s="5"/>
      <c r="G79" s="49"/>
      <c r="H79" s="5">
        <v>12.19</v>
      </c>
      <c r="I79" s="5">
        <v>5.5</v>
      </c>
      <c r="J79" s="5"/>
      <c r="K79" s="5"/>
      <c r="L79" s="6">
        <v>25</v>
      </c>
      <c r="M79" s="6">
        <v>11</v>
      </c>
      <c r="N79" s="56">
        <f t="shared" si="1"/>
        <v>9.7999999999999989</v>
      </c>
    </row>
    <row r="80" spans="1:15">
      <c r="A80" s="22" t="s">
        <v>89</v>
      </c>
      <c r="B80" s="22"/>
      <c r="C80" s="35">
        <v>43908</v>
      </c>
      <c r="D80" s="35"/>
      <c r="E80" s="35">
        <v>43893</v>
      </c>
      <c r="F80" s="5"/>
      <c r="G80" s="49"/>
      <c r="H80" s="5">
        <v>9.6</v>
      </c>
      <c r="I80" s="5">
        <v>5.5</v>
      </c>
      <c r="J80" s="5"/>
      <c r="K80" s="5"/>
      <c r="L80" s="6">
        <v>25</v>
      </c>
      <c r="M80" s="6">
        <v>11</v>
      </c>
      <c r="N80" s="56">
        <f t="shared" si="1"/>
        <v>9.7999999999999989</v>
      </c>
    </row>
    <row r="81" spans="1:16">
      <c r="A81" s="22" t="s">
        <v>85</v>
      </c>
      <c r="B81" s="22"/>
      <c r="C81" s="35">
        <v>43881</v>
      </c>
      <c r="D81" s="35"/>
      <c r="E81" s="35">
        <v>43895</v>
      </c>
      <c r="F81" s="5"/>
      <c r="G81" s="49"/>
      <c r="H81" s="5">
        <v>9.14</v>
      </c>
      <c r="I81" s="5">
        <f>11/30*15</f>
        <v>5.5</v>
      </c>
      <c r="J81" s="5"/>
      <c r="K81" s="5"/>
      <c r="L81" s="6">
        <v>25</v>
      </c>
      <c r="M81" s="6">
        <v>11</v>
      </c>
      <c r="N81" s="56">
        <f t="shared" si="1"/>
        <v>9.7999999999999989</v>
      </c>
    </row>
    <row r="82" spans="1:16">
      <c r="A82" s="22" t="s">
        <v>82</v>
      </c>
      <c r="B82" s="22"/>
      <c r="C82" s="35">
        <v>40235</v>
      </c>
      <c r="D82" s="35"/>
      <c r="E82" s="35">
        <v>43901</v>
      </c>
      <c r="F82" s="5"/>
      <c r="G82" s="49"/>
      <c r="H82" s="5">
        <v>9.6</v>
      </c>
      <c r="I82" s="5">
        <f>11/2</f>
        <v>5.5</v>
      </c>
      <c r="J82" s="5"/>
      <c r="K82" s="5"/>
      <c r="L82" s="6">
        <v>25</v>
      </c>
      <c r="M82" s="6">
        <v>11</v>
      </c>
      <c r="N82" s="56">
        <f t="shared" si="1"/>
        <v>9.7999999999999989</v>
      </c>
    </row>
    <row r="83" spans="1:16">
      <c r="A83" s="22" t="s">
        <v>84</v>
      </c>
      <c r="B83" s="22"/>
      <c r="C83" s="35">
        <v>43889</v>
      </c>
      <c r="D83" s="35"/>
      <c r="E83" s="35">
        <v>43903</v>
      </c>
      <c r="F83" s="5"/>
      <c r="G83" s="49"/>
      <c r="H83" s="5">
        <v>9.14</v>
      </c>
      <c r="I83" s="5">
        <f>11/30*15</f>
        <v>5.5</v>
      </c>
      <c r="J83" s="5"/>
      <c r="K83" s="5"/>
      <c r="L83" s="6">
        <v>25</v>
      </c>
      <c r="M83" s="6">
        <v>11</v>
      </c>
      <c r="N83" s="56">
        <f t="shared" si="1"/>
        <v>9.7999999999999989</v>
      </c>
    </row>
    <row r="84" spans="1:16">
      <c r="A84" s="22" t="s">
        <v>80</v>
      </c>
      <c r="B84" s="22"/>
      <c r="C84" s="35">
        <v>43873</v>
      </c>
      <c r="D84" s="35"/>
      <c r="E84" s="35">
        <v>43910</v>
      </c>
      <c r="F84" s="5"/>
      <c r="G84" s="49"/>
      <c r="H84" s="5">
        <v>21.84</v>
      </c>
      <c r="I84" s="5">
        <f>56/30*38</f>
        <v>70.933333333333337</v>
      </c>
      <c r="J84" s="5"/>
      <c r="K84" s="5"/>
      <c r="L84" s="6">
        <v>120</v>
      </c>
      <c r="M84" s="6">
        <v>56</v>
      </c>
      <c r="N84" s="56">
        <f t="shared" si="1"/>
        <v>44.8</v>
      </c>
    </row>
    <row r="85" spans="1:16">
      <c r="A85" s="22" t="s">
        <v>83</v>
      </c>
      <c r="B85" s="22"/>
      <c r="C85" s="35">
        <v>43872</v>
      </c>
      <c r="D85" s="35"/>
      <c r="E85" s="35">
        <v>43913</v>
      </c>
      <c r="F85" s="5"/>
      <c r="G85" s="49"/>
      <c r="H85" s="5">
        <v>12.24</v>
      </c>
      <c r="I85" s="5">
        <f>45/30*42</f>
        <v>63</v>
      </c>
      <c r="J85" s="5"/>
      <c r="K85" s="5"/>
      <c r="L85" s="6">
        <v>85</v>
      </c>
      <c r="M85" s="6">
        <v>45</v>
      </c>
      <c r="N85" s="56">
        <f t="shared" si="1"/>
        <v>28</v>
      </c>
    </row>
    <row r="86" spans="1:16">
      <c r="A86" s="22" t="s">
        <v>88</v>
      </c>
      <c r="B86" s="22"/>
      <c r="C86" s="35">
        <v>43855</v>
      </c>
      <c r="D86" s="35"/>
      <c r="E86" s="35">
        <v>43941</v>
      </c>
      <c r="F86" s="5"/>
      <c r="G86" s="49"/>
      <c r="H86" s="5">
        <v>13.93</v>
      </c>
      <c r="I86" s="5">
        <f>56/30*85</f>
        <v>158.66666666666666</v>
      </c>
      <c r="J86" s="5"/>
      <c r="K86" s="5"/>
      <c r="L86" s="6">
        <v>110</v>
      </c>
      <c r="M86" s="6">
        <v>56</v>
      </c>
      <c r="N86" s="56">
        <f t="shared" si="1"/>
        <v>37.799999999999997</v>
      </c>
    </row>
    <row r="87" spans="1:16">
      <c r="A87" s="22" t="s">
        <v>90</v>
      </c>
      <c r="B87" s="22"/>
      <c r="C87" s="35" t="s">
        <v>96</v>
      </c>
      <c r="D87" s="35"/>
      <c r="E87" s="35">
        <v>44015</v>
      </c>
      <c r="F87" s="5" t="s">
        <v>160</v>
      </c>
      <c r="G87" s="49">
        <v>12.5</v>
      </c>
      <c r="H87" s="5">
        <v>11.29</v>
      </c>
      <c r="I87" s="5">
        <f>100</f>
        <v>100</v>
      </c>
      <c r="J87" s="5"/>
      <c r="K87" s="5"/>
      <c r="L87" s="6">
        <v>75</v>
      </c>
      <c r="M87" s="6">
        <f>25+11</f>
        <v>36</v>
      </c>
      <c r="N87" s="56">
        <f>12.5+(62.5-M87)*0.7</f>
        <v>31.049999999999997</v>
      </c>
      <c r="P87" s="41"/>
    </row>
    <row r="88" spans="1:16">
      <c r="A88" s="22" t="s">
        <v>97</v>
      </c>
      <c r="B88" s="22"/>
      <c r="C88" s="35">
        <v>43990</v>
      </c>
      <c r="D88" s="35"/>
      <c r="E88" s="35">
        <v>44036</v>
      </c>
      <c r="F88" s="5"/>
      <c r="G88" s="49"/>
      <c r="H88" s="5">
        <v>8.75</v>
      </c>
      <c r="I88" s="5">
        <f>56/30*46</f>
        <v>85.866666666666674</v>
      </c>
      <c r="J88" s="5"/>
      <c r="K88" s="5"/>
      <c r="L88" s="6">
        <v>110</v>
      </c>
      <c r="M88" s="6">
        <f>45+11</f>
        <v>56</v>
      </c>
      <c r="N88" s="56">
        <f>(L88-M88)*0.7</f>
        <v>37.799999999999997</v>
      </c>
    </row>
    <row r="89" spans="1:16">
      <c r="A89" s="22" t="s">
        <v>95</v>
      </c>
      <c r="B89" s="22"/>
      <c r="C89" s="35">
        <v>44028</v>
      </c>
      <c r="D89" s="35"/>
      <c r="E89" s="35">
        <v>44040</v>
      </c>
      <c r="F89" s="5"/>
      <c r="G89" s="49"/>
      <c r="H89" s="5">
        <v>8.75</v>
      </c>
      <c r="I89" s="5">
        <f>41/30*12</f>
        <v>16.399999999999999</v>
      </c>
      <c r="J89" s="5"/>
      <c r="K89" s="5"/>
      <c r="L89" s="6">
        <v>60</v>
      </c>
      <c r="M89" s="6">
        <v>41</v>
      </c>
      <c r="N89" s="56">
        <f>(L89-M89)*0.7</f>
        <v>13.299999999999999</v>
      </c>
    </row>
    <row r="90" spans="1:16">
      <c r="A90" s="22" t="s">
        <v>98</v>
      </c>
      <c r="B90" s="22"/>
      <c r="C90" s="35">
        <v>44048</v>
      </c>
      <c r="D90" s="35"/>
      <c r="E90" s="35">
        <v>44081</v>
      </c>
      <c r="F90" s="5" t="s">
        <v>160</v>
      </c>
      <c r="G90" s="49">
        <v>17.5</v>
      </c>
      <c r="H90" s="5">
        <v>27.88</v>
      </c>
      <c r="I90" s="5">
        <f>58/30*32</f>
        <v>61.866666666666667</v>
      </c>
      <c r="J90" s="5">
        <v>125</v>
      </c>
      <c r="K90" s="5"/>
      <c r="L90" s="6">
        <v>140</v>
      </c>
      <c r="M90" s="6">
        <f>25+33</f>
        <v>58</v>
      </c>
      <c r="N90" s="56">
        <f>17.5+64.5*0.7</f>
        <v>62.65</v>
      </c>
      <c r="P90" s="41"/>
    </row>
    <row r="91" spans="1:16">
      <c r="A91" s="22" t="s">
        <v>91</v>
      </c>
      <c r="B91" s="22"/>
      <c r="C91" s="35">
        <v>44011</v>
      </c>
      <c r="D91" s="35"/>
      <c r="E91" s="35">
        <v>44084</v>
      </c>
      <c r="F91" s="5"/>
      <c r="G91" s="49"/>
      <c r="H91" s="5">
        <v>11.29</v>
      </c>
      <c r="I91" s="5">
        <f>25/30*71</f>
        <v>59.166666666666671</v>
      </c>
      <c r="J91" s="5"/>
      <c r="K91" s="5"/>
      <c r="L91" s="6">
        <v>40</v>
      </c>
      <c r="M91" s="6">
        <v>25</v>
      </c>
      <c r="N91" s="56">
        <f>(L91-M91)*0.7</f>
        <v>10.5</v>
      </c>
    </row>
    <row r="92" spans="1:16">
      <c r="A92" s="9" t="s">
        <v>99</v>
      </c>
      <c r="B92" s="9"/>
      <c r="C92" s="57">
        <v>44084</v>
      </c>
      <c r="D92" s="57"/>
      <c r="E92" s="57">
        <v>44105</v>
      </c>
      <c r="F92" s="25" t="s">
        <v>160</v>
      </c>
      <c r="G92" s="58">
        <v>5</v>
      </c>
      <c r="H92" s="25">
        <v>12.24</v>
      </c>
      <c r="I92" s="25">
        <f>25/30*20</f>
        <v>16.666666666666668</v>
      </c>
      <c r="J92" s="25"/>
      <c r="K92" s="25"/>
      <c r="L92" s="74">
        <v>40</v>
      </c>
      <c r="M92" s="27">
        <v>22</v>
      </c>
      <c r="N92" s="86">
        <f>5+13*0.7</f>
        <v>14.1</v>
      </c>
      <c r="P92" s="41"/>
    </row>
    <row r="93" spans="1:16">
      <c r="A93" s="9" t="s">
        <v>102</v>
      </c>
      <c r="B93" s="9"/>
      <c r="C93" s="24" t="s">
        <v>103</v>
      </c>
      <c r="D93" s="24"/>
      <c r="E93" s="24">
        <v>44110</v>
      </c>
      <c r="F93" s="5" t="s">
        <v>160</v>
      </c>
      <c r="G93" s="49">
        <v>10</v>
      </c>
      <c r="H93" s="25">
        <v>36.65</v>
      </c>
      <c r="I93" s="25">
        <f>115/30*26</f>
        <v>99.666666666666671</v>
      </c>
      <c r="J93" s="25"/>
      <c r="K93" s="25"/>
      <c r="L93" s="27">
        <v>180</v>
      </c>
      <c r="M93" s="27">
        <v>115</v>
      </c>
      <c r="N93" s="86">
        <f>10+55*0.7</f>
        <v>48.5</v>
      </c>
      <c r="P93" s="41"/>
    </row>
    <row r="94" spans="1:16">
      <c r="A94" s="9" t="s">
        <v>94</v>
      </c>
      <c r="B94" s="9"/>
      <c r="C94" s="57">
        <v>44124</v>
      </c>
      <c r="D94" s="57"/>
      <c r="E94" s="57">
        <v>44124</v>
      </c>
      <c r="F94" s="25"/>
      <c r="G94" s="58"/>
      <c r="H94" s="25">
        <v>7.25</v>
      </c>
      <c r="I94" s="25">
        <v>0</v>
      </c>
      <c r="J94" s="25"/>
      <c r="K94" s="25"/>
      <c r="L94" s="27">
        <v>25</v>
      </c>
      <c r="M94" s="27">
        <v>11</v>
      </c>
      <c r="N94" s="86">
        <f>(L94-M94)*0.7</f>
        <v>9.7999999999999989</v>
      </c>
    </row>
    <row r="95" spans="1:16">
      <c r="A95" s="2" t="s">
        <v>100</v>
      </c>
      <c r="B95" s="2"/>
      <c r="C95" s="4">
        <v>44018</v>
      </c>
      <c r="D95" s="4"/>
      <c r="E95" s="4">
        <v>44124</v>
      </c>
      <c r="F95" s="40"/>
      <c r="G95" s="2"/>
      <c r="H95" s="5">
        <v>9.5</v>
      </c>
      <c r="I95" s="5">
        <f>25/30*104</f>
        <v>86.666666666666671</v>
      </c>
      <c r="J95" s="5"/>
      <c r="K95" s="5"/>
      <c r="L95" s="6">
        <v>70</v>
      </c>
      <c r="M95" s="6">
        <v>25</v>
      </c>
      <c r="N95" s="56">
        <f>(L95-M95)*0.7</f>
        <v>31.499999999999996</v>
      </c>
    </row>
    <row r="96" spans="1:16">
      <c r="A96" s="2" t="s">
        <v>101</v>
      </c>
      <c r="B96" s="2"/>
      <c r="C96" s="4">
        <v>44070</v>
      </c>
      <c r="D96" s="4"/>
      <c r="E96" s="4">
        <v>44131</v>
      </c>
      <c r="F96" s="40"/>
      <c r="G96" s="2"/>
      <c r="H96" s="5">
        <v>13.93</v>
      </c>
      <c r="I96" s="5">
        <f>71/30*60</f>
        <v>142</v>
      </c>
      <c r="J96" s="5"/>
      <c r="K96" s="5"/>
      <c r="L96" s="6">
        <v>120</v>
      </c>
      <c r="M96" s="6">
        <f>60+11</f>
        <v>71</v>
      </c>
      <c r="N96" s="56">
        <f>(L96-M96)*0.7</f>
        <v>34.299999999999997</v>
      </c>
    </row>
    <row r="97" spans="1:15">
      <c r="A97" s="22" t="s">
        <v>104</v>
      </c>
      <c r="B97" s="22"/>
      <c r="C97" s="4">
        <v>44159</v>
      </c>
      <c r="D97" s="4"/>
      <c r="E97" s="4">
        <v>44187</v>
      </c>
      <c r="F97" s="40"/>
      <c r="G97" s="2"/>
      <c r="H97" s="5">
        <v>13.93</v>
      </c>
      <c r="I97" s="5">
        <f>36/30*28</f>
        <v>33.6</v>
      </c>
      <c r="J97" s="5"/>
      <c r="K97" s="5"/>
      <c r="L97" s="6">
        <v>110</v>
      </c>
      <c r="M97" s="6">
        <f>25+11</f>
        <v>36</v>
      </c>
      <c r="N97" s="56">
        <f>(L97-M97)*0.7</f>
        <v>51.8</v>
      </c>
    </row>
    <row r="98" spans="1:15">
      <c r="A98" s="22" t="s">
        <v>120</v>
      </c>
      <c r="B98" s="22"/>
      <c r="C98" s="4">
        <v>44169</v>
      </c>
      <c r="D98" s="4"/>
      <c r="E98" s="4">
        <v>44208</v>
      </c>
      <c r="F98" s="5" t="s">
        <v>160</v>
      </c>
      <c r="G98" s="49">
        <v>10</v>
      </c>
      <c r="H98" s="5"/>
      <c r="I98" s="5">
        <f>41/30*38</f>
        <v>51.933333333333337</v>
      </c>
      <c r="J98" s="5"/>
      <c r="K98" s="5"/>
      <c r="L98" s="6">
        <v>70</v>
      </c>
      <c r="M98" s="6">
        <v>45</v>
      </c>
      <c r="N98" s="56">
        <f>10+(60-45)*0.7</f>
        <v>20.5</v>
      </c>
      <c r="O98" s="1"/>
    </row>
    <row r="99" spans="1:15">
      <c r="A99" s="22" t="s">
        <v>108</v>
      </c>
      <c r="B99" s="22"/>
      <c r="C99" s="4">
        <v>44185</v>
      </c>
      <c r="D99" s="4"/>
      <c r="E99" s="4">
        <v>44242</v>
      </c>
      <c r="F99" s="5" t="s">
        <v>160</v>
      </c>
      <c r="G99" s="49">
        <v>20</v>
      </c>
      <c r="H99" s="5">
        <v>26.48</v>
      </c>
      <c r="I99" s="5">
        <f>50/30*55</f>
        <v>91.666666666666671</v>
      </c>
      <c r="J99" s="5">
        <v>160</v>
      </c>
      <c r="K99" s="5"/>
      <c r="L99" s="6">
        <v>190</v>
      </c>
      <c r="M99" s="6">
        <v>61</v>
      </c>
      <c r="N99" s="56">
        <f>(20+(170-61)*0.7)</f>
        <v>96.3</v>
      </c>
      <c r="O99" s="1"/>
    </row>
    <row r="100" spans="1:15">
      <c r="A100" s="22" t="s">
        <v>109</v>
      </c>
      <c r="B100" s="22"/>
      <c r="C100" s="4">
        <v>44209</v>
      </c>
      <c r="D100" s="4"/>
      <c r="E100" s="4">
        <v>44250</v>
      </c>
      <c r="F100" s="5" t="s">
        <v>160</v>
      </c>
      <c r="G100" s="49">
        <v>22.5</v>
      </c>
      <c r="H100" s="5">
        <v>22.83</v>
      </c>
      <c r="I100" s="5">
        <f>100/30*40</f>
        <v>133.33333333333334</v>
      </c>
      <c r="J100" s="5">
        <v>125</v>
      </c>
      <c r="K100" s="5"/>
      <c r="L100" s="6">
        <v>210</v>
      </c>
      <c r="M100" s="6">
        <v>100</v>
      </c>
      <c r="N100" s="56">
        <f>(22.5+87.5*0.7)</f>
        <v>83.75</v>
      </c>
    </row>
    <row r="101" spans="1:15">
      <c r="A101" s="2" t="s">
        <v>113</v>
      </c>
      <c r="B101" s="2"/>
      <c r="C101" s="4">
        <v>44245</v>
      </c>
      <c r="D101" s="4"/>
      <c r="E101" s="4">
        <v>44271</v>
      </c>
      <c r="F101" s="5" t="s">
        <v>160</v>
      </c>
      <c r="G101" s="49">
        <v>15</v>
      </c>
      <c r="H101" s="5">
        <v>26.76</v>
      </c>
      <c r="I101" s="5">
        <f>67/30*28</f>
        <v>62.533333333333331</v>
      </c>
      <c r="J101" s="5"/>
      <c r="K101" s="5"/>
      <c r="L101" s="6">
        <v>140</v>
      </c>
      <c r="M101" s="6">
        <v>67</v>
      </c>
      <c r="N101" s="56">
        <f>(15+0.7*58)</f>
        <v>55.599999999999994</v>
      </c>
    </row>
    <row r="102" spans="1:15">
      <c r="A102" s="2" t="s">
        <v>114</v>
      </c>
      <c r="B102" s="2"/>
      <c r="C102" s="4">
        <v>44222</v>
      </c>
      <c r="D102" s="4"/>
      <c r="E102" s="4">
        <v>44279</v>
      </c>
      <c r="F102" s="5" t="s">
        <v>160</v>
      </c>
      <c r="G102" s="49">
        <v>12.5</v>
      </c>
      <c r="H102" s="5">
        <v>13.4</v>
      </c>
      <c r="I102" s="5">
        <f>56/30*58</f>
        <v>108.26666666666667</v>
      </c>
      <c r="J102" s="5">
        <v>100</v>
      </c>
      <c r="K102" s="5"/>
      <c r="L102" s="6">
        <v>140</v>
      </c>
      <c r="M102" s="6">
        <v>56</v>
      </c>
      <c r="N102" s="56">
        <f>(12.5+71.5*0.7)</f>
        <v>62.55</v>
      </c>
      <c r="O102" s="1"/>
    </row>
    <row r="103" spans="1:15">
      <c r="A103" s="2" t="s">
        <v>112</v>
      </c>
      <c r="B103" s="2"/>
      <c r="C103" s="4">
        <v>44270</v>
      </c>
      <c r="D103" s="4"/>
      <c r="E103" s="4">
        <v>44286</v>
      </c>
      <c r="F103" s="5" t="s">
        <v>160</v>
      </c>
      <c r="G103" s="49">
        <v>17.5</v>
      </c>
      <c r="H103" s="5">
        <v>31.96</v>
      </c>
      <c r="I103" s="5">
        <f>55/30*16</f>
        <v>29.333333333333332</v>
      </c>
      <c r="J103" s="5">
        <v>75</v>
      </c>
      <c r="K103" s="5"/>
      <c r="L103" s="6">
        <v>100</v>
      </c>
      <c r="M103" s="6">
        <v>55</v>
      </c>
      <c r="N103" s="56">
        <f>(17.5+27.5*0.7)</f>
        <v>36.75</v>
      </c>
    </row>
    <row r="104" spans="1:15">
      <c r="A104" s="2" t="s">
        <v>119</v>
      </c>
      <c r="B104" s="2"/>
      <c r="C104" s="4">
        <v>44281</v>
      </c>
      <c r="D104" s="4"/>
      <c r="E104" s="4">
        <v>44316</v>
      </c>
      <c r="F104" s="40"/>
      <c r="G104" s="2"/>
      <c r="H104" s="5">
        <v>14.26</v>
      </c>
      <c r="I104" s="5">
        <f>45/30*34</f>
        <v>51</v>
      </c>
      <c r="J104" s="5"/>
      <c r="K104" s="5"/>
      <c r="L104" s="6">
        <v>110</v>
      </c>
      <c r="M104" s="6">
        <v>45</v>
      </c>
      <c r="N104" s="56">
        <f>(65*0.7)</f>
        <v>45.5</v>
      </c>
    </row>
    <row r="105" spans="1:15">
      <c r="A105" s="22" t="s">
        <v>121</v>
      </c>
      <c r="B105" s="22"/>
      <c r="C105" s="4">
        <v>44316</v>
      </c>
      <c r="D105" s="4"/>
      <c r="E105" s="4">
        <v>44354</v>
      </c>
      <c r="F105" s="40"/>
      <c r="G105" s="2"/>
      <c r="H105" s="5">
        <v>15.15</v>
      </c>
      <c r="I105" s="5">
        <f>36/30*37</f>
        <v>44.4</v>
      </c>
      <c r="J105" s="5"/>
      <c r="K105" s="5"/>
      <c r="L105" s="6">
        <v>110</v>
      </c>
      <c r="M105" s="6">
        <v>36</v>
      </c>
      <c r="N105" s="56">
        <f>(L105-M105)*0.7</f>
        <v>51.8</v>
      </c>
      <c r="O105" s="1"/>
    </row>
    <row r="106" spans="1:15">
      <c r="A106" s="22" t="s">
        <v>126</v>
      </c>
      <c r="B106" s="22"/>
      <c r="C106" s="4">
        <v>44336</v>
      </c>
      <c r="D106" s="4"/>
      <c r="E106" s="4">
        <v>44370</v>
      </c>
      <c r="F106" s="5" t="s">
        <v>161</v>
      </c>
      <c r="G106" s="49">
        <v>17.5</v>
      </c>
      <c r="H106" s="5">
        <v>35.78</v>
      </c>
      <c r="I106" s="5">
        <f>58/30*33</f>
        <v>63.8</v>
      </c>
      <c r="J106" s="5">
        <v>50</v>
      </c>
      <c r="K106" s="5"/>
      <c r="L106" s="6">
        <v>150</v>
      </c>
      <c r="M106" s="6">
        <v>58</v>
      </c>
      <c r="N106" s="56">
        <f>(17.5+74.5*0.7)</f>
        <v>69.650000000000006</v>
      </c>
    </row>
    <row r="107" spans="1:15">
      <c r="A107" s="44" t="s">
        <v>125</v>
      </c>
      <c r="B107" s="44"/>
      <c r="C107" s="4">
        <v>44342</v>
      </c>
      <c r="D107" s="4"/>
      <c r="E107" s="4">
        <v>44386</v>
      </c>
      <c r="F107" s="5" t="s">
        <v>160</v>
      </c>
      <c r="G107" s="49">
        <v>12.5</v>
      </c>
      <c r="H107" s="5">
        <v>15.46</v>
      </c>
      <c r="I107" s="5">
        <f>36/30*43</f>
        <v>51.6</v>
      </c>
      <c r="J107" s="5">
        <f>50+45</f>
        <v>95</v>
      </c>
      <c r="K107" s="5"/>
      <c r="L107" s="6">
        <v>110</v>
      </c>
      <c r="M107" s="6">
        <v>36</v>
      </c>
      <c r="N107" s="56"/>
    </row>
    <row r="108" spans="1:15">
      <c r="A108" s="44" t="s">
        <v>129</v>
      </c>
      <c r="B108" s="44"/>
      <c r="C108" s="4">
        <v>44348</v>
      </c>
      <c r="D108" s="4"/>
      <c r="E108" s="4">
        <v>44389</v>
      </c>
      <c r="F108" s="5" t="s">
        <v>160</v>
      </c>
      <c r="G108" s="49">
        <v>12.5</v>
      </c>
      <c r="H108" s="5">
        <v>26.22</v>
      </c>
      <c r="I108" s="5">
        <f>71/30*42</f>
        <v>99.4</v>
      </c>
      <c r="J108" s="5">
        <f>50+45</f>
        <v>95</v>
      </c>
      <c r="K108" s="5"/>
      <c r="L108" s="6">
        <v>140</v>
      </c>
      <c r="M108" s="6">
        <v>71</v>
      </c>
      <c r="N108" s="56">
        <f>(12.5+(127.5-71)*0.7)</f>
        <v>52.05</v>
      </c>
    </row>
    <row r="109" spans="1:15">
      <c r="A109" s="44" t="s">
        <v>124</v>
      </c>
      <c r="B109" s="44"/>
      <c r="C109" s="4">
        <v>44348</v>
      </c>
      <c r="D109" s="4"/>
      <c r="E109" s="4">
        <v>44389</v>
      </c>
      <c r="F109" s="40"/>
      <c r="G109" s="2"/>
      <c r="H109" s="5">
        <v>11.62</v>
      </c>
      <c r="I109" s="5">
        <f>26/30*42</f>
        <v>36.4</v>
      </c>
      <c r="J109" s="5">
        <v>65</v>
      </c>
      <c r="K109" s="5"/>
      <c r="L109" s="6">
        <v>70</v>
      </c>
      <c r="M109" s="6">
        <v>26</v>
      </c>
      <c r="N109" s="56">
        <f>(70-26)*0.7</f>
        <v>30.799999999999997</v>
      </c>
    </row>
    <row r="110" spans="1:15">
      <c r="A110" s="44" t="s">
        <v>132</v>
      </c>
      <c r="B110" s="44"/>
      <c r="C110" s="4">
        <v>44407</v>
      </c>
      <c r="D110" s="4"/>
      <c r="E110" s="4">
        <v>44461</v>
      </c>
      <c r="F110" s="40"/>
      <c r="G110" s="2"/>
      <c r="H110" s="5">
        <v>9.8800000000000008</v>
      </c>
      <c r="I110" s="5">
        <f>25/30*52</f>
        <v>43.333333333333336</v>
      </c>
      <c r="J110" s="5"/>
      <c r="K110" s="5"/>
      <c r="L110" s="6">
        <v>70</v>
      </c>
      <c r="M110" s="6">
        <v>25</v>
      </c>
      <c r="N110" s="56">
        <f>45*0.7</f>
        <v>31.499999999999996</v>
      </c>
    </row>
    <row r="111" spans="1:15">
      <c r="A111" s="44" t="s">
        <v>133</v>
      </c>
      <c r="B111" s="44"/>
      <c r="C111" s="4">
        <v>44432</v>
      </c>
      <c r="D111" s="4"/>
      <c r="E111" s="4">
        <v>44467</v>
      </c>
      <c r="F111" s="40"/>
      <c r="G111" s="2"/>
      <c r="H111" s="5">
        <v>9.8800000000000008</v>
      </c>
      <c r="I111" s="5">
        <f>25/30*34</f>
        <v>28.333333333333336</v>
      </c>
      <c r="J111" s="5"/>
      <c r="K111" s="5"/>
      <c r="L111" s="6">
        <v>70</v>
      </c>
      <c r="M111" s="6">
        <v>25</v>
      </c>
      <c r="N111" s="56">
        <f>45*0.7</f>
        <v>31.499999999999996</v>
      </c>
    </row>
    <row r="112" spans="1:15">
      <c r="A112" s="44" t="s">
        <v>135</v>
      </c>
      <c r="B112" s="44"/>
      <c r="C112" s="35">
        <v>44460</v>
      </c>
      <c r="D112" s="35"/>
      <c r="E112" s="35">
        <v>44475</v>
      </c>
      <c r="F112" s="40"/>
      <c r="G112" s="2"/>
      <c r="H112" s="5">
        <v>19.760000000000002</v>
      </c>
      <c r="I112" s="5">
        <f>43/30*15</f>
        <v>21.5</v>
      </c>
      <c r="J112" s="5">
        <v>65</v>
      </c>
      <c r="K112" s="5"/>
      <c r="L112" s="6">
        <v>90</v>
      </c>
      <c r="M112" s="6">
        <v>43</v>
      </c>
      <c r="N112" s="56">
        <f>(L112-M112)*0.7</f>
        <v>32.9</v>
      </c>
    </row>
    <row r="113" spans="1:15">
      <c r="A113" s="44" t="s">
        <v>141</v>
      </c>
      <c r="B113" s="44"/>
      <c r="C113" s="35">
        <v>44459</v>
      </c>
      <c r="D113" s="35"/>
      <c r="E113" s="35">
        <v>44481</v>
      </c>
      <c r="F113" s="10" t="s">
        <v>161</v>
      </c>
      <c r="G113" s="12">
        <v>10</v>
      </c>
      <c r="H113" s="5">
        <v>15.15</v>
      </c>
      <c r="I113" s="5">
        <f>46/30*22</f>
        <v>33.733333333333334</v>
      </c>
      <c r="J113" s="5">
        <v>80</v>
      </c>
      <c r="K113" s="5"/>
      <c r="L113" s="6">
        <v>120</v>
      </c>
      <c r="M113" s="6">
        <v>46</v>
      </c>
      <c r="N113" s="56">
        <f>10+(120-56)*0.7</f>
        <v>54.8</v>
      </c>
    </row>
    <row r="114" spans="1:15">
      <c r="A114" s="44" t="s">
        <v>140</v>
      </c>
      <c r="B114" s="44"/>
      <c r="C114" s="35">
        <v>44449</v>
      </c>
      <c r="D114" s="35"/>
      <c r="E114" s="35">
        <v>44482</v>
      </c>
      <c r="F114" s="5" t="s">
        <v>160</v>
      </c>
      <c r="G114" s="49">
        <v>10</v>
      </c>
      <c r="H114" s="5">
        <v>13.4</v>
      </c>
      <c r="I114" s="5">
        <f>60/30*33</f>
        <v>66</v>
      </c>
      <c r="J114" s="5">
        <v>80</v>
      </c>
      <c r="K114" s="5"/>
      <c r="L114" s="6">
        <v>120</v>
      </c>
      <c r="M114" s="6">
        <v>61</v>
      </c>
      <c r="N114" s="56">
        <f>(10+49*0.7)</f>
        <v>44.3</v>
      </c>
    </row>
    <row r="115" spans="1:15">
      <c r="A115" s="44" t="s">
        <v>137</v>
      </c>
      <c r="B115" s="44"/>
      <c r="C115" s="35">
        <v>44474</v>
      </c>
      <c r="D115" s="35"/>
      <c r="E115" s="35">
        <v>44487</v>
      </c>
      <c r="F115" s="10" t="s">
        <v>161</v>
      </c>
      <c r="G115" s="12">
        <v>12.5</v>
      </c>
      <c r="H115" s="5">
        <v>15.15</v>
      </c>
      <c r="I115" s="5">
        <f>71/30*13</f>
        <v>30.766666666666666</v>
      </c>
      <c r="J115" s="5">
        <v>95</v>
      </c>
      <c r="K115" s="5"/>
      <c r="L115" s="6">
        <v>140</v>
      </c>
      <c r="M115" s="6">
        <v>71</v>
      </c>
      <c r="N115" s="56">
        <f>12.5+(56.5)*0.7</f>
        <v>52.05</v>
      </c>
    </row>
    <row r="116" spans="1:15">
      <c r="A116" s="44" t="s">
        <v>143</v>
      </c>
      <c r="B116" s="44"/>
      <c r="C116" s="35">
        <v>43717</v>
      </c>
      <c r="D116" s="35"/>
      <c r="E116" s="35">
        <v>44505</v>
      </c>
      <c r="F116" s="40"/>
      <c r="G116" s="49"/>
      <c r="H116" s="5">
        <v>13.4</v>
      </c>
      <c r="I116" s="5">
        <f>36*25+36/30*26</f>
        <v>931.2</v>
      </c>
      <c r="J116" s="5"/>
      <c r="K116" s="5"/>
      <c r="L116" s="6">
        <v>100</v>
      </c>
      <c r="M116" s="6">
        <v>36</v>
      </c>
      <c r="N116" s="56">
        <f>(100-36)*0.7</f>
        <v>44.8</v>
      </c>
    </row>
    <row r="117" spans="1:15">
      <c r="A117" s="44" t="s">
        <v>139</v>
      </c>
      <c r="B117" s="44"/>
      <c r="C117" s="35">
        <v>44492</v>
      </c>
      <c r="D117" s="35"/>
      <c r="E117" s="35">
        <v>44539</v>
      </c>
      <c r="F117" s="40"/>
      <c r="G117" s="49"/>
      <c r="H117" s="5">
        <v>16.350000000000001</v>
      </c>
      <c r="I117" s="5">
        <f>71/30*46</f>
        <v>108.86666666666667</v>
      </c>
      <c r="J117" s="5">
        <v>95</v>
      </c>
      <c r="K117" s="5"/>
      <c r="L117" s="6">
        <v>140</v>
      </c>
      <c r="M117" s="6">
        <v>71</v>
      </c>
      <c r="N117" s="12">
        <f>(140-71)*0.7</f>
        <v>48.3</v>
      </c>
      <c r="O117" s="1" t="s">
        <v>145</v>
      </c>
    </row>
    <row r="118" spans="1:15">
      <c r="A118" s="44" t="s">
        <v>144</v>
      </c>
      <c r="B118" s="44"/>
      <c r="C118" s="35">
        <v>44526</v>
      </c>
      <c r="D118" s="35"/>
      <c r="E118" s="35">
        <v>44550</v>
      </c>
      <c r="F118" s="5" t="s">
        <v>160</v>
      </c>
      <c r="G118" s="49">
        <v>12.5</v>
      </c>
      <c r="H118" s="5">
        <v>13.4</v>
      </c>
      <c r="I118" s="5">
        <f>83/30*24</f>
        <v>66.400000000000006</v>
      </c>
      <c r="J118" s="5"/>
      <c r="K118" s="5"/>
      <c r="L118" s="6">
        <v>160</v>
      </c>
      <c r="M118" s="6">
        <v>94</v>
      </c>
      <c r="N118" s="12">
        <f>12.5+(160-12.5-94)*0.7</f>
        <v>49.949999999999996</v>
      </c>
      <c r="O118" s="1" t="s">
        <v>145</v>
      </c>
    </row>
    <row r="119" spans="1:15">
      <c r="A119" s="44" t="s">
        <v>149</v>
      </c>
      <c r="B119" s="44"/>
      <c r="C119" s="35">
        <v>44880</v>
      </c>
      <c r="D119" s="35"/>
      <c r="E119" s="35">
        <v>44575</v>
      </c>
      <c r="F119" s="40"/>
      <c r="G119" s="49"/>
      <c r="H119" s="5">
        <v>13.4</v>
      </c>
      <c r="I119" s="5"/>
      <c r="J119" s="5">
        <v>50</v>
      </c>
      <c r="K119" s="5"/>
      <c r="L119" s="6">
        <v>140</v>
      </c>
      <c r="M119" s="6">
        <f>71</f>
        <v>71</v>
      </c>
      <c r="N119" s="56">
        <f>(140-71)*0.7</f>
        <v>48.3</v>
      </c>
    </row>
    <row r="120" spans="1:15">
      <c r="A120" s="44" t="s">
        <v>146</v>
      </c>
      <c r="B120" s="44"/>
      <c r="C120" s="4">
        <v>44586</v>
      </c>
      <c r="D120" s="4"/>
      <c r="E120" s="4">
        <v>44615</v>
      </c>
      <c r="F120" s="10" t="s">
        <v>161</v>
      </c>
      <c r="G120" s="12">
        <v>12.5</v>
      </c>
      <c r="H120" s="5">
        <v>15.46</v>
      </c>
      <c r="I120" s="5">
        <f>27/30*28</f>
        <v>25.2</v>
      </c>
      <c r="J120" s="5">
        <v>110</v>
      </c>
      <c r="K120" s="5"/>
      <c r="L120" s="6">
        <v>124</v>
      </c>
      <c r="M120" s="6">
        <v>51</v>
      </c>
      <c r="N120" s="56">
        <f>12.5+(124-63.5)*0.7</f>
        <v>54.849999999999994</v>
      </c>
    </row>
    <row r="121" spans="1:15">
      <c r="A121" s="44" t="s">
        <v>148</v>
      </c>
      <c r="B121" s="44"/>
      <c r="C121" s="4">
        <v>44579</v>
      </c>
      <c r="D121" s="4"/>
      <c r="E121" s="4">
        <v>44594</v>
      </c>
      <c r="F121" s="40"/>
      <c r="G121" s="49"/>
      <c r="H121" s="5">
        <v>13.4</v>
      </c>
      <c r="I121" s="5">
        <f>22/30*14</f>
        <v>10.266666666666666</v>
      </c>
      <c r="J121" s="5">
        <v>30</v>
      </c>
      <c r="K121" s="5"/>
      <c r="L121" s="6">
        <v>50</v>
      </c>
      <c r="M121" s="6">
        <v>22</v>
      </c>
      <c r="N121" s="56">
        <f>(50-22)*0.7</f>
        <v>19.599999999999998</v>
      </c>
    </row>
    <row r="122" spans="1:15">
      <c r="A122" s="44" t="s">
        <v>150</v>
      </c>
      <c r="B122" s="44"/>
      <c r="C122" s="4">
        <v>44899</v>
      </c>
      <c r="D122" s="4"/>
      <c r="E122" s="4">
        <v>44607</v>
      </c>
      <c r="F122" s="12" t="s">
        <v>160</v>
      </c>
      <c r="G122" s="12">
        <v>12.5</v>
      </c>
      <c r="H122" s="5">
        <v>13.4</v>
      </c>
      <c r="I122" s="5">
        <f>71/30*61</f>
        <v>144.36666666666667</v>
      </c>
      <c r="J122" s="5">
        <v>80</v>
      </c>
      <c r="K122" s="5"/>
      <c r="L122" s="6">
        <v>120</v>
      </c>
      <c r="M122" s="6">
        <v>60</v>
      </c>
      <c r="N122" s="56">
        <f>12.5+(120-72.5)*0.7</f>
        <v>45.75</v>
      </c>
    </row>
    <row r="123" spans="1:15">
      <c r="A123" s="44" t="s">
        <v>151</v>
      </c>
      <c r="B123" s="44"/>
      <c r="C123" s="4">
        <v>44926</v>
      </c>
      <c r="D123" s="4"/>
      <c r="E123" s="4">
        <v>44649</v>
      </c>
      <c r="F123" s="40"/>
      <c r="G123" s="40"/>
      <c r="H123" s="5">
        <v>9.0299999999999994</v>
      </c>
      <c r="I123" s="5">
        <f>25*2+25/30*29</f>
        <v>74.166666666666671</v>
      </c>
      <c r="J123" s="5">
        <v>80</v>
      </c>
      <c r="K123" s="5"/>
      <c r="L123" s="6">
        <v>67.5</v>
      </c>
      <c r="M123" s="6">
        <v>25</v>
      </c>
      <c r="N123" s="56">
        <f>(67.5-25)*0.7</f>
        <v>29.749999999999996</v>
      </c>
    </row>
    <row r="124" spans="1:15">
      <c r="A124" s="44" t="s">
        <v>152</v>
      </c>
      <c r="B124" s="44"/>
      <c r="C124" s="4">
        <v>44852</v>
      </c>
      <c r="D124" s="4"/>
      <c r="E124" s="4">
        <v>44649</v>
      </c>
      <c r="F124" s="40"/>
      <c r="G124" s="40"/>
      <c r="H124" s="5">
        <v>9.0299999999999994</v>
      </c>
      <c r="I124" s="5">
        <f>45*4+45/30*13</f>
        <v>199.5</v>
      </c>
      <c r="J124" s="5">
        <v>80</v>
      </c>
      <c r="K124" s="5"/>
      <c r="L124" s="6">
        <v>67.5</v>
      </c>
      <c r="M124" s="6">
        <v>45</v>
      </c>
      <c r="N124" s="56">
        <f>(L124-M124)*0.7</f>
        <v>15.749999999999998</v>
      </c>
    </row>
    <row r="125" spans="1:15">
      <c r="A125" s="44" t="s">
        <v>153</v>
      </c>
      <c r="B125" s="44"/>
      <c r="C125" s="4">
        <v>44623</v>
      </c>
      <c r="D125" s="4"/>
      <c r="E125" s="4">
        <v>44623</v>
      </c>
      <c r="F125" s="40"/>
      <c r="G125" s="40"/>
      <c r="H125" s="5">
        <v>11.03</v>
      </c>
      <c r="I125" s="5">
        <v>0</v>
      </c>
      <c r="J125" s="5">
        <v>15</v>
      </c>
      <c r="K125" s="5"/>
      <c r="L125" s="6">
        <v>30</v>
      </c>
      <c r="M125" s="6">
        <v>12</v>
      </c>
      <c r="N125" s="56">
        <f>(L125-M125)*0.7</f>
        <v>12.6</v>
      </c>
    </row>
    <row r="126" spans="1:15">
      <c r="A126" s="44" t="s">
        <v>154</v>
      </c>
      <c r="B126" s="44"/>
      <c r="C126" s="4">
        <v>44881</v>
      </c>
      <c r="D126" s="4"/>
      <c r="E126" s="4">
        <v>44628</v>
      </c>
      <c r="F126" s="40"/>
      <c r="G126" s="40"/>
      <c r="H126" s="5">
        <v>9.0299999999999994</v>
      </c>
      <c r="I126" s="5">
        <f>65*3+65/30*22</f>
        <v>242.66666666666666</v>
      </c>
      <c r="J126" s="5">
        <v>95</v>
      </c>
      <c r="K126" s="5"/>
      <c r="L126" s="6">
        <v>112</v>
      </c>
      <c r="M126" s="6">
        <v>65</v>
      </c>
      <c r="N126" s="56">
        <f>(L126-M126)*0.7</f>
        <v>32.9</v>
      </c>
    </row>
    <row r="127" spans="1:15">
      <c r="A127" s="44" t="s">
        <v>155</v>
      </c>
      <c r="B127" s="44"/>
      <c r="C127" s="4">
        <v>44490</v>
      </c>
      <c r="D127" s="4"/>
      <c r="E127" s="4">
        <v>44648</v>
      </c>
      <c r="F127" s="40"/>
      <c r="G127" s="40"/>
      <c r="H127" s="5">
        <v>13.4</v>
      </c>
      <c r="I127" s="5">
        <f>45*5+45/30*7</f>
        <v>235.5</v>
      </c>
      <c r="J127" s="5">
        <v>80</v>
      </c>
      <c r="K127" s="5"/>
      <c r="L127" s="6">
        <v>67.5</v>
      </c>
      <c r="M127" s="6">
        <v>45</v>
      </c>
      <c r="N127" s="56">
        <f>(L127-M127)*0.7</f>
        <v>15.749999999999998</v>
      </c>
    </row>
    <row r="128" spans="1:15">
      <c r="A128" s="44" t="s">
        <v>156</v>
      </c>
      <c r="B128" s="44"/>
      <c r="C128" s="4">
        <v>44489</v>
      </c>
      <c r="D128" s="4"/>
      <c r="E128" s="4">
        <v>44651</v>
      </c>
      <c r="F128" s="40"/>
      <c r="G128" s="40"/>
      <c r="H128" s="5">
        <v>15.46</v>
      </c>
      <c r="I128" s="5">
        <f>50*5+50/10</f>
        <v>255</v>
      </c>
      <c r="J128" s="5">
        <v>145</v>
      </c>
      <c r="K128" s="5"/>
      <c r="L128" s="6">
        <v>125</v>
      </c>
      <c r="M128" s="6">
        <v>50</v>
      </c>
      <c r="N128" s="56">
        <f>(L128-M128)*0.7</f>
        <v>52.5</v>
      </c>
    </row>
    <row r="129" spans="1:15">
      <c r="A129" s="44" t="s">
        <v>157</v>
      </c>
      <c r="B129" s="44"/>
      <c r="C129" s="4">
        <v>44627</v>
      </c>
      <c r="D129" s="4"/>
      <c r="E129" s="4">
        <v>44627</v>
      </c>
      <c r="F129" s="10" t="s">
        <v>161</v>
      </c>
      <c r="G129" s="12">
        <v>10</v>
      </c>
      <c r="H129" s="5">
        <v>15.46</v>
      </c>
      <c r="I129" s="5">
        <v>0</v>
      </c>
      <c r="J129" s="5">
        <v>0</v>
      </c>
      <c r="K129" s="5"/>
      <c r="L129" s="6">
        <v>100</v>
      </c>
      <c r="M129" s="6">
        <v>44</v>
      </c>
      <c r="N129" s="56">
        <f>10+(46)*0.7</f>
        <v>42.199999999999996</v>
      </c>
    </row>
    <row r="130" spans="1:15">
      <c r="A130" s="44" t="s">
        <v>158</v>
      </c>
      <c r="B130" s="44"/>
      <c r="C130" s="4">
        <v>44627</v>
      </c>
      <c r="D130" s="4"/>
      <c r="E130" s="4">
        <v>44627</v>
      </c>
      <c r="F130" s="10" t="s">
        <v>161</v>
      </c>
      <c r="G130" s="12">
        <v>12.5</v>
      </c>
      <c r="H130" s="5">
        <v>15.46</v>
      </c>
      <c r="I130" s="5">
        <v>0</v>
      </c>
      <c r="J130" s="5">
        <v>0</v>
      </c>
      <c r="K130" s="5"/>
      <c r="L130" s="6">
        <v>125</v>
      </c>
      <c r="M130" s="6">
        <v>55</v>
      </c>
      <c r="N130" s="56">
        <f>12.5+(57.5)*0.7</f>
        <v>52.75</v>
      </c>
    </row>
    <row r="131" spans="1:15">
      <c r="A131" s="44" t="s">
        <v>168</v>
      </c>
      <c r="B131" s="44"/>
      <c r="C131" s="4">
        <v>44636</v>
      </c>
      <c r="D131" s="4"/>
      <c r="E131" s="4">
        <v>44659</v>
      </c>
      <c r="F131" s="40"/>
      <c r="G131" s="5"/>
      <c r="H131" s="5">
        <v>13.72</v>
      </c>
      <c r="I131" s="5">
        <f>55/30*24</f>
        <v>44</v>
      </c>
      <c r="J131" s="5">
        <v>80</v>
      </c>
      <c r="K131" s="5"/>
      <c r="L131" s="6">
        <v>120</v>
      </c>
      <c r="M131" s="6">
        <v>55</v>
      </c>
      <c r="N131" s="12">
        <f>(L131-M131)*0.7</f>
        <v>45.5</v>
      </c>
      <c r="O131" s="1" t="s">
        <v>145</v>
      </c>
    </row>
    <row r="132" spans="1:15">
      <c r="A132" s="44" t="s">
        <v>171</v>
      </c>
      <c r="B132" s="44"/>
      <c r="C132" s="4">
        <v>44648</v>
      </c>
      <c r="D132" s="4"/>
      <c r="E132" s="4">
        <v>44734</v>
      </c>
      <c r="F132" s="40"/>
      <c r="G132" s="5"/>
      <c r="H132" s="5">
        <v>13.72</v>
      </c>
      <c r="I132" s="5">
        <f>56/30*84</f>
        <v>156.80000000000001</v>
      </c>
      <c r="J132" s="5">
        <v>95</v>
      </c>
      <c r="K132" s="5"/>
      <c r="L132" s="6">
        <v>140</v>
      </c>
      <c r="M132" s="6">
        <v>56</v>
      </c>
      <c r="N132" s="56">
        <f>(140-56)*0.7</f>
        <v>58.8</v>
      </c>
    </row>
    <row r="133" spans="1:15">
      <c r="A133" s="44" t="s">
        <v>172</v>
      </c>
      <c r="B133" s="44"/>
      <c r="C133" s="4">
        <v>44705</v>
      </c>
      <c r="D133" s="4"/>
      <c r="E133" s="4">
        <v>44715</v>
      </c>
      <c r="F133" s="40"/>
      <c r="G133" s="5"/>
      <c r="H133" s="5">
        <v>10.039999999999999</v>
      </c>
      <c r="I133" s="5">
        <f>25/30*9</f>
        <v>7.5</v>
      </c>
      <c r="J133" s="5"/>
      <c r="K133" s="5"/>
      <c r="L133" s="6">
        <v>50</v>
      </c>
      <c r="M133" s="6">
        <v>25</v>
      </c>
      <c r="N133" s="56">
        <f>(50-25)*0.7</f>
        <v>17.5</v>
      </c>
    </row>
    <row r="134" spans="1:15">
      <c r="A134" s="44" t="s">
        <v>173</v>
      </c>
      <c r="B134" s="44"/>
      <c r="C134" s="4">
        <v>44704</v>
      </c>
      <c r="D134" s="4"/>
      <c r="E134" s="4">
        <v>44721</v>
      </c>
      <c r="F134" s="10" t="s">
        <v>161</v>
      </c>
      <c r="G134" s="56">
        <v>12.5</v>
      </c>
      <c r="H134" s="5">
        <v>13.72</v>
      </c>
      <c r="I134" s="5">
        <f>37/30*16</f>
        <v>19.733333333333334</v>
      </c>
      <c r="J134" s="5">
        <f>50+45</f>
        <v>95</v>
      </c>
      <c r="K134" s="5"/>
      <c r="L134" s="6">
        <v>110</v>
      </c>
      <c r="M134" s="6">
        <v>37</v>
      </c>
      <c r="N134" s="56">
        <f>12.5+(97.5-37)*0.7</f>
        <v>54.849999999999994</v>
      </c>
    </row>
    <row r="135" spans="1:15">
      <c r="A135" s="44" t="s">
        <v>174</v>
      </c>
      <c r="B135" s="44"/>
      <c r="C135" s="4">
        <v>44715</v>
      </c>
      <c r="D135" s="4"/>
      <c r="E135" s="4">
        <v>44820</v>
      </c>
      <c r="F135" s="10" t="s">
        <v>161</v>
      </c>
      <c r="G135" s="56">
        <v>15</v>
      </c>
      <c r="H135" s="5">
        <v>14.6</v>
      </c>
      <c r="I135" s="5">
        <f>56/30*103</f>
        <v>192.26666666666668</v>
      </c>
      <c r="J135" s="5">
        <v>50</v>
      </c>
      <c r="K135" s="5"/>
      <c r="L135" s="6">
        <f>130</f>
        <v>130</v>
      </c>
      <c r="M135" s="6">
        <v>56</v>
      </c>
      <c r="N135" s="56">
        <f>15+(115-56)*0.7</f>
        <v>56.3</v>
      </c>
    </row>
    <row r="136" spans="1:15">
      <c r="A136" s="44" t="s">
        <v>183</v>
      </c>
      <c r="B136" s="44"/>
      <c r="C136" s="4">
        <v>44749</v>
      </c>
      <c r="D136" s="4">
        <v>44830</v>
      </c>
      <c r="E136" s="4">
        <v>44858</v>
      </c>
      <c r="F136" s="40"/>
      <c r="G136" s="5"/>
      <c r="H136" s="5">
        <v>11.03</v>
      </c>
      <c r="I136" s="5">
        <v>25</v>
      </c>
      <c r="J136" s="5">
        <v>15</v>
      </c>
      <c r="K136" s="5"/>
      <c r="L136" s="6">
        <v>80</v>
      </c>
      <c r="M136" s="6">
        <v>25</v>
      </c>
      <c r="N136" s="56">
        <f>55*0.7</f>
        <v>38.5</v>
      </c>
    </row>
    <row r="137" spans="1:15">
      <c r="A137" s="44" t="s">
        <v>184</v>
      </c>
      <c r="B137" s="44"/>
      <c r="C137" s="4">
        <v>44775</v>
      </c>
      <c r="D137" s="4">
        <v>44810</v>
      </c>
      <c r="E137" s="4">
        <v>44848</v>
      </c>
      <c r="F137" s="40"/>
      <c r="G137" s="5"/>
      <c r="H137" s="5">
        <v>23.38</v>
      </c>
      <c r="I137" s="5">
        <f>100/30*38</f>
        <v>126.66666666666667</v>
      </c>
      <c r="J137" s="5">
        <v>155</v>
      </c>
      <c r="K137" s="5"/>
      <c r="L137" s="6">
        <v>220</v>
      </c>
      <c r="M137" s="6">
        <v>100</v>
      </c>
      <c r="N137" s="5"/>
    </row>
    <row r="138" spans="1:15">
      <c r="A138" s="44" t="s">
        <v>185</v>
      </c>
      <c r="B138" s="44"/>
      <c r="C138" s="4">
        <v>44830</v>
      </c>
      <c r="D138" s="4">
        <v>44852</v>
      </c>
      <c r="E138" s="4">
        <v>44858</v>
      </c>
      <c r="F138" s="10" t="s">
        <v>161</v>
      </c>
      <c r="G138" s="12">
        <v>12.5</v>
      </c>
      <c r="H138" s="5">
        <v>23.38</v>
      </c>
      <c r="I138" s="5">
        <f>54.5/30*6</f>
        <v>10.9</v>
      </c>
      <c r="J138" s="5">
        <v>95</v>
      </c>
      <c r="K138" s="5"/>
      <c r="L138" s="6">
        <v>140</v>
      </c>
      <c r="M138" s="6">
        <v>55.5</v>
      </c>
      <c r="N138" s="88">
        <f>12.5+(127.5-55.5)*0.7</f>
        <v>62.9</v>
      </c>
    </row>
    <row r="139" spans="1:15">
      <c r="A139" s="44" t="s">
        <v>190</v>
      </c>
      <c r="B139" s="44"/>
      <c r="C139" s="4"/>
      <c r="D139" s="4">
        <v>44879</v>
      </c>
      <c r="E139" s="35">
        <v>44887</v>
      </c>
      <c r="F139" s="44" t="s">
        <v>161</v>
      </c>
      <c r="G139" s="56">
        <v>10</v>
      </c>
      <c r="H139" s="5">
        <v>14.6</v>
      </c>
      <c r="I139" s="5">
        <f>34/30*8</f>
        <v>9.0666666666666664</v>
      </c>
      <c r="J139" s="5">
        <v>45</v>
      </c>
      <c r="K139" s="5"/>
      <c r="L139" s="6">
        <v>90</v>
      </c>
      <c r="M139" s="6">
        <v>34</v>
      </c>
      <c r="N139" s="56">
        <f>10+(80-34)*0.7</f>
        <v>42.199999999999996</v>
      </c>
    </row>
    <row r="140" spans="1:15">
      <c r="A140" s="44" t="s">
        <v>193</v>
      </c>
      <c r="B140" s="44"/>
      <c r="C140" s="4">
        <v>44872</v>
      </c>
      <c r="D140" s="4">
        <v>44879</v>
      </c>
      <c r="E140" s="35">
        <v>44882</v>
      </c>
      <c r="F140" s="40"/>
      <c r="G140" s="5"/>
      <c r="H140" s="5">
        <v>10.039999999999999</v>
      </c>
      <c r="I140" s="5">
        <f>25/30*3</f>
        <v>2.5</v>
      </c>
      <c r="J140" s="5"/>
      <c r="K140" s="5"/>
      <c r="L140" s="6">
        <v>40</v>
      </c>
      <c r="M140" s="6">
        <v>25</v>
      </c>
      <c r="N140" s="6">
        <f>(L140-M140)*0.7</f>
        <v>10.5</v>
      </c>
    </row>
    <row r="141" spans="1:15">
      <c r="A141" s="10" t="s">
        <v>213</v>
      </c>
      <c r="B141" s="10"/>
      <c r="C141" s="4">
        <v>44894</v>
      </c>
      <c r="D141" s="4">
        <v>44908</v>
      </c>
      <c r="E141" s="35">
        <v>44944</v>
      </c>
      <c r="F141" s="40" t="s">
        <v>161</v>
      </c>
      <c r="G141" s="5">
        <v>15</v>
      </c>
      <c r="H141" s="5">
        <v>31.72</v>
      </c>
      <c r="I141" s="5">
        <f>50/30*35</f>
        <v>58.333333333333336</v>
      </c>
      <c r="J141" s="5">
        <f>60+50</f>
        <v>110</v>
      </c>
      <c r="K141" s="5"/>
      <c r="L141" s="6">
        <v>130</v>
      </c>
      <c r="M141" s="6">
        <f>19+2+3.5*2+11*2</f>
        <v>50</v>
      </c>
      <c r="N141" s="6">
        <f>15/30*12+(115-M141)*0.7/30*12</f>
        <v>24.2</v>
      </c>
    </row>
    <row r="142" spans="1:15">
      <c r="A142" s="72" t="s">
        <v>272</v>
      </c>
      <c r="B142" s="72"/>
      <c r="C142" s="15"/>
      <c r="D142" s="15"/>
      <c r="E142" s="36"/>
      <c r="F142" s="71"/>
      <c r="G142" s="16"/>
      <c r="H142" s="16"/>
      <c r="I142" s="16"/>
      <c r="J142" s="16"/>
      <c r="K142" s="16"/>
      <c r="L142" s="17">
        <v>30</v>
      </c>
      <c r="M142" s="18"/>
      <c r="N142" s="18"/>
    </row>
    <row r="143" spans="1:15">
      <c r="A143" s="28"/>
      <c r="B143" s="28"/>
      <c r="C143" s="36"/>
      <c r="D143" s="36"/>
      <c r="E143" s="36"/>
      <c r="F143" s="28"/>
      <c r="G143" s="28"/>
      <c r="H143" s="30"/>
      <c r="I143" s="28"/>
      <c r="J143" s="30"/>
      <c r="L143" s="30"/>
      <c r="M143" s="70" t="s">
        <v>4</v>
      </c>
      <c r="N143" s="70">
        <f>SUM(N2:N141)</f>
        <v>4883.3153333333394</v>
      </c>
    </row>
    <row r="144" spans="1:15">
      <c r="C144" s="36"/>
      <c r="D144" s="36"/>
      <c r="F144" s="28"/>
      <c r="G144" s="28"/>
      <c r="H144" s="30"/>
      <c r="I144" s="28"/>
      <c r="M144" t="s">
        <v>251</v>
      </c>
      <c r="N144">
        <v>4363.25</v>
      </c>
    </row>
    <row r="145" spans="1:14">
      <c r="C145" s="36"/>
      <c r="D145" s="36"/>
      <c r="F145" s="28"/>
      <c r="G145" s="28"/>
      <c r="H145" s="30"/>
      <c r="I145" s="28"/>
    </row>
    <row r="146" spans="1:14">
      <c r="C146" s="36"/>
      <c r="D146" s="36"/>
      <c r="F146" s="28"/>
      <c r="G146" s="28"/>
      <c r="H146" s="30"/>
      <c r="I146" s="28"/>
    </row>
    <row r="147" spans="1:14">
      <c r="C147" s="36"/>
      <c r="D147" s="36"/>
      <c r="F147" s="28"/>
      <c r="G147" s="28"/>
      <c r="H147" s="30"/>
      <c r="I147" s="28"/>
    </row>
    <row r="148" spans="1:14">
      <c r="A148" s="28"/>
      <c r="B148" s="28"/>
      <c r="E148" s="15"/>
      <c r="F148" s="1"/>
      <c r="G148" s="1"/>
      <c r="H148" s="1"/>
      <c r="I148" s="1"/>
      <c r="J148" s="1"/>
      <c r="K148" s="1"/>
      <c r="L148" s="1"/>
      <c r="M148" s="49"/>
      <c r="N148" s="50"/>
    </row>
    <row r="150" spans="1:14">
      <c r="H150" s="30"/>
      <c r="L150" t="s">
        <v>237</v>
      </c>
    </row>
    <row r="151" spans="1:14">
      <c r="I151" s="42"/>
      <c r="L151" t="s">
        <v>209</v>
      </c>
    </row>
    <row r="152" spans="1:14">
      <c r="L152" t="s">
        <v>221</v>
      </c>
    </row>
    <row r="153" spans="1:14">
      <c r="L153" t="s">
        <v>220</v>
      </c>
    </row>
    <row r="155" spans="1:14">
      <c r="M155" s="42"/>
    </row>
  </sheetData>
  <autoFilter ref="A1:P147">
    <filterColumn colId="1">
      <filters blank="1"/>
    </filterColumn>
    <sortState ref="A2:P36">
      <sortCondition ref="A1:A147"/>
    </sortState>
  </autoFilter>
  <pageMargins left="0.7" right="0.7" top="0.75" bottom="0.75" header="0.3" footer="0.3"/>
  <pageSetup paperSize="9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>
  <sheetPr filterMode="1"/>
  <dimension ref="A1:P183"/>
  <sheetViews>
    <sheetView workbookViewId="0">
      <selection activeCell="G9" sqref="G9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5" max="5" width="11.42578125" customWidth="1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3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10" t="s">
        <v>149</v>
      </c>
      <c r="B2" s="44" t="s">
        <v>200</v>
      </c>
      <c r="C2" s="4"/>
      <c r="D2" s="4"/>
      <c r="E2" s="35">
        <v>44980</v>
      </c>
      <c r="F2" s="40"/>
      <c r="G2" s="5"/>
      <c r="H2" s="5"/>
      <c r="I2" s="5"/>
      <c r="J2" s="5">
        <f>2.9*9</f>
        <v>26.099999999999998</v>
      </c>
      <c r="K2" s="5"/>
      <c r="L2" s="6">
        <v>169.1</v>
      </c>
      <c r="M2" s="65">
        <f>80.65</f>
        <v>80.650000000000006</v>
      </c>
      <c r="N2" s="59">
        <f>(L2-M2)*0.8/30*7</f>
        <v>16.510666666666665</v>
      </c>
    </row>
    <row r="3" spans="1:15">
      <c r="A3" s="10" t="s">
        <v>190</v>
      </c>
      <c r="B3" s="44" t="s">
        <v>200</v>
      </c>
      <c r="C3" s="4"/>
      <c r="D3" s="4"/>
      <c r="E3" s="35">
        <v>44972</v>
      </c>
      <c r="F3" s="40"/>
      <c r="G3" s="5"/>
      <c r="H3" s="5"/>
      <c r="I3" s="5"/>
      <c r="J3" s="5">
        <f>2.9</f>
        <v>2.9</v>
      </c>
      <c r="K3" s="5"/>
      <c r="L3" s="6">
        <f>18.8</f>
        <v>18.8</v>
      </c>
      <c r="M3" s="65">
        <f>10.2</f>
        <v>10.199999999999999</v>
      </c>
      <c r="N3" s="59">
        <f>(L3-M3)*0.8/30*15</f>
        <v>3.4400000000000008</v>
      </c>
    </row>
    <row r="4" spans="1:15">
      <c r="A4" s="10" t="s">
        <v>239</v>
      </c>
      <c r="B4" s="44" t="s">
        <v>200</v>
      </c>
      <c r="C4" s="35"/>
      <c r="D4" s="35"/>
      <c r="E4" s="4">
        <v>44973</v>
      </c>
      <c r="F4" s="40"/>
      <c r="G4" s="40"/>
      <c r="H4" s="5"/>
      <c r="I4" s="40"/>
      <c r="J4" s="40">
        <f>48*2.9</f>
        <v>139.19999999999999</v>
      </c>
      <c r="K4" s="40"/>
      <c r="L4" s="6">
        <v>538.79999999999995</v>
      </c>
      <c r="M4" s="61">
        <f>2*7.9+43*4.5+2*13.1</f>
        <v>235.5</v>
      </c>
      <c r="N4" s="6">
        <f>(L4-M4)*0.8/30*14</f>
        <v>113.23199999999999</v>
      </c>
    </row>
    <row r="5" spans="1:15">
      <c r="A5" s="10" t="s">
        <v>235</v>
      </c>
      <c r="B5" s="44" t="s">
        <v>200</v>
      </c>
      <c r="C5" s="35"/>
      <c r="D5" s="35"/>
      <c r="E5" s="4">
        <v>44967</v>
      </c>
      <c r="F5" s="40"/>
      <c r="G5" s="40"/>
      <c r="H5" s="5"/>
      <c r="I5" s="40"/>
      <c r="J5" s="40">
        <v>255.2</v>
      </c>
      <c r="K5" s="40"/>
      <c r="L5" s="6">
        <v>352</v>
      </c>
      <c r="M5" s="61">
        <f>0.55*88</f>
        <v>48.400000000000006</v>
      </c>
      <c r="N5" s="6">
        <f>(L5-M5)*0.8/30*20</f>
        <v>161.92000000000002</v>
      </c>
    </row>
    <row r="6" spans="1:15">
      <c r="A6" s="10" t="s">
        <v>44</v>
      </c>
      <c r="B6" s="44" t="s">
        <v>200</v>
      </c>
      <c r="C6" s="35"/>
      <c r="D6" s="35"/>
      <c r="E6" s="4">
        <v>44985</v>
      </c>
      <c r="F6" s="40"/>
      <c r="G6" s="40"/>
      <c r="H6" s="5"/>
      <c r="I6" s="40"/>
      <c r="J6" s="40">
        <f>2.9*3</f>
        <v>8.6999999999999993</v>
      </c>
      <c r="K6" s="40"/>
      <c r="L6" s="6">
        <f>18.9*2+20.9</f>
        <v>58.699999999999996</v>
      </c>
      <c r="M6" s="61">
        <f>7.9*2+9.2</f>
        <v>25</v>
      </c>
      <c r="N6" s="6">
        <f>(L6-M6)*0.8/30*1</f>
        <v>0.89866666666666661</v>
      </c>
    </row>
    <row r="7" spans="1:15">
      <c r="A7" s="44" t="s">
        <v>210</v>
      </c>
      <c r="B7" s="44" t="s">
        <v>200</v>
      </c>
      <c r="C7" s="4"/>
      <c r="D7" s="4">
        <v>44942</v>
      </c>
      <c r="E7" s="35">
        <v>44942</v>
      </c>
      <c r="F7" s="40"/>
      <c r="G7" s="5"/>
      <c r="H7" s="5"/>
      <c r="I7" s="5"/>
      <c r="J7" s="5">
        <f>2.9</f>
        <v>2.9</v>
      </c>
      <c r="K7" s="5"/>
      <c r="L7" s="6">
        <v>89.8</v>
      </c>
      <c r="M7" s="61">
        <f>71.5+3.9</f>
        <v>75.400000000000006</v>
      </c>
      <c r="N7" s="6">
        <f>(L7-M7)*0.8</f>
        <v>11.519999999999994</v>
      </c>
    </row>
    <row r="8" spans="1:15">
      <c r="A8" s="44" t="s">
        <v>224</v>
      </c>
      <c r="B8" s="44" t="s">
        <v>200</v>
      </c>
      <c r="C8" s="4"/>
      <c r="D8" s="4"/>
      <c r="E8" s="35">
        <v>44953</v>
      </c>
      <c r="F8" s="40"/>
      <c r="G8" s="5"/>
      <c r="H8" s="5"/>
      <c r="I8" s="5"/>
      <c r="J8" s="5">
        <f>2.9*3</f>
        <v>8.6999999999999993</v>
      </c>
      <c r="K8" s="5"/>
      <c r="L8" s="6">
        <f>16.9*3</f>
        <v>50.699999999999996</v>
      </c>
      <c r="M8" s="65">
        <f>7.1*3</f>
        <v>21.299999999999997</v>
      </c>
      <c r="N8" s="59">
        <f>(L8-M8)*0.8</f>
        <v>23.52</v>
      </c>
    </row>
    <row r="9" spans="1:15">
      <c r="A9" s="10" t="s">
        <v>224</v>
      </c>
      <c r="B9" s="44" t="s">
        <v>200</v>
      </c>
      <c r="C9" s="4"/>
      <c r="D9" s="4"/>
      <c r="E9" s="35">
        <v>44970</v>
      </c>
      <c r="F9" s="40"/>
      <c r="G9" s="5"/>
      <c r="H9" s="5"/>
      <c r="I9" s="5"/>
      <c r="J9" s="5">
        <f>2.9*46</f>
        <v>133.4</v>
      </c>
      <c r="K9" s="5"/>
      <c r="L9" s="6">
        <f>765.1-50.7</f>
        <v>714.4</v>
      </c>
      <c r="M9" s="65">
        <f>8*6.3+21*4.5+2*9.2+2*13.1+13*7.1</f>
        <v>281.8</v>
      </c>
      <c r="N9" s="59">
        <f>(L9-M9)*0.8/30*17</f>
        <v>196.11199999999999</v>
      </c>
    </row>
    <row r="10" spans="1:15">
      <c r="A10" s="44" t="s">
        <v>191</v>
      </c>
      <c r="B10" s="44" t="s">
        <v>200</v>
      </c>
      <c r="C10" s="4"/>
      <c r="D10" s="4"/>
      <c r="E10" s="35" t="s">
        <v>192</v>
      </c>
      <c r="F10" s="40"/>
      <c r="G10" s="5"/>
      <c r="H10" s="12">
        <f>5*2.9+3.5</f>
        <v>18</v>
      </c>
      <c r="I10" s="5"/>
      <c r="J10" s="5"/>
      <c r="K10" s="5"/>
      <c r="L10" s="6">
        <v>84.5</v>
      </c>
      <c r="M10" s="61">
        <f>7.1*5</f>
        <v>35.5</v>
      </c>
      <c r="N10" s="6">
        <f>(L10-M10)*0.8</f>
        <v>39.200000000000003</v>
      </c>
    </row>
    <row r="11" spans="1:15">
      <c r="A11" s="44" t="s">
        <v>191</v>
      </c>
      <c r="B11" s="44" t="s">
        <v>200</v>
      </c>
      <c r="C11" s="4"/>
      <c r="D11" s="4"/>
      <c r="E11" s="35">
        <v>44918</v>
      </c>
      <c r="F11" s="40"/>
      <c r="G11" s="5"/>
      <c r="H11" s="12">
        <f>1.5+2.9*17</f>
        <v>50.8</v>
      </c>
      <c r="I11" s="5"/>
      <c r="J11" s="5"/>
      <c r="K11" s="5"/>
      <c r="L11" s="6">
        <v>287.3</v>
      </c>
      <c r="M11" s="61">
        <v>120.7</v>
      </c>
      <c r="N11" s="6">
        <f>(L11-M11)*0.8</f>
        <v>133.28000000000003</v>
      </c>
    </row>
    <row r="12" spans="1:15">
      <c r="A12" s="44" t="s">
        <v>191</v>
      </c>
      <c r="B12" s="44" t="s">
        <v>200</v>
      </c>
      <c r="C12" s="4"/>
      <c r="D12" s="4">
        <v>44936</v>
      </c>
      <c r="E12" s="35">
        <v>44936</v>
      </c>
      <c r="F12" s="40"/>
      <c r="G12" s="5"/>
      <c r="H12" s="5"/>
      <c r="I12" s="5"/>
      <c r="J12" s="5">
        <f>2.9*2</f>
        <v>5.8</v>
      </c>
      <c r="K12" s="5"/>
      <c r="L12" s="6">
        <f>16.9*2</f>
        <v>33.799999999999997</v>
      </c>
      <c r="M12" s="61">
        <f>7.1*2</f>
        <v>14.2</v>
      </c>
      <c r="N12" s="6">
        <f>(L12-M12)*0.8</f>
        <v>15.68</v>
      </c>
    </row>
    <row r="13" spans="1:15">
      <c r="A13" s="10" t="s">
        <v>225</v>
      </c>
      <c r="B13" s="44" t="s">
        <v>200</v>
      </c>
      <c r="C13" s="4"/>
      <c r="D13" s="4"/>
      <c r="E13" s="35">
        <v>44977</v>
      </c>
      <c r="F13" s="40"/>
      <c r="G13" s="5"/>
      <c r="H13" s="5"/>
      <c r="I13" s="5"/>
      <c r="J13" s="5">
        <v>2.9</v>
      </c>
      <c r="K13" s="5"/>
      <c r="L13" s="6">
        <v>22.5</v>
      </c>
      <c r="M13" s="65">
        <v>13.1</v>
      </c>
      <c r="N13" s="59">
        <f>(L13-M13)*0.8/30*10</f>
        <v>2.5066666666666668</v>
      </c>
    </row>
    <row r="14" spans="1:15">
      <c r="A14" s="10" t="s">
        <v>240</v>
      </c>
      <c r="B14" s="44" t="s">
        <v>200</v>
      </c>
      <c r="C14" s="35"/>
      <c r="D14" s="35"/>
      <c r="E14" s="4">
        <v>44970</v>
      </c>
      <c r="F14" s="40"/>
      <c r="G14" s="40"/>
      <c r="H14" s="5"/>
      <c r="I14" s="40"/>
      <c r="J14" s="40">
        <f>15*2.9</f>
        <v>43.5</v>
      </c>
      <c r="K14" s="40"/>
      <c r="L14" s="6">
        <f>10*10+3*11.5+2*10</f>
        <v>154.5</v>
      </c>
      <c r="M14" s="61">
        <f>4.5*10+7.1*5+4.5*2</f>
        <v>89.5</v>
      </c>
      <c r="N14" s="6">
        <f>(L14-M14)*0.8/30*17</f>
        <v>29.466666666666669</v>
      </c>
    </row>
    <row r="15" spans="1:15">
      <c r="A15" s="10" t="s">
        <v>241</v>
      </c>
      <c r="B15" s="44" t="s">
        <v>200</v>
      </c>
      <c r="C15" s="35"/>
      <c r="D15" s="35"/>
      <c r="E15" s="4">
        <v>44970</v>
      </c>
      <c r="F15" s="40"/>
      <c r="G15" s="40"/>
      <c r="H15" s="5"/>
      <c r="I15" s="40"/>
      <c r="J15" s="40">
        <f>6*2.9</f>
        <v>17.399999999999999</v>
      </c>
      <c r="K15" s="40"/>
      <c r="L15" s="6">
        <f>10+11.5*4+16.5</f>
        <v>72.5</v>
      </c>
      <c r="M15" s="61">
        <f>4.5+7.1*4+9.2</f>
        <v>42.099999999999994</v>
      </c>
      <c r="N15" s="6">
        <f>(L15-M15)*0.8/30*17</f>
        <v>13.781333333333336</v>
      </c>
    </row>
    <row r="16" spans="1:15">
      <c r="A16" s="44" t="s">
        <v>207</v>
      </c>
      <c r="B16" s="44" t="s">
        <v>200</v>
      </c>
      <c r="C16" s="4"/>
      <c r="D16" s="4">
        <v>44937</v>
      </c>
      <c r="E16" s="35">
        <v>44937</v>
      </c>
      <c r="F16" s="40"/>
      <c r="G16" s="5"/>
      <c r="H16" s="5"/>
      <c r="I16" s="5"/>
      <c r="J16" s="5">
        <f>2.9*2</f>
        <v>5.8</v>
      </c>
      <c r="K16" s="5"/>
      <c r="L16" s="6">
        <f>29.8</f>
        <v>29.8</v>
      </c>
      <c r="M16" s="61">
        <f>6.85*2</f>
        <v>13.7</v>
      </c>
      <c r="N16" s="6">
        <f>(L16-M16)*0.8</f>
        <v>12.880000000000003</v>
      </c>
    </row>
    <row r="17" spans="1:14">
      <c r="A17" s="10" t="s">
        <v>243</v>
      </c>
      <c r="B17" s="44" t="s">
        <v>200</v>
      </c>
      <c r="C17" s="35"/>
      <c r="D17" s="35"/>
      <c r="E17" s="4">
        <v>44970</v>
      </c>
      <c r="F17" s="40"/>
      <c r="G17" s="40"/>
      <c r="H17" s="5"/>
      <c r="I17" s="40"/>
      <c r="J17" s="40">
        <f>17*2.9</f>
        <v>49.3</v>
      </c>
      <c r="K17" s="40"/>
      <c r="L17" s="6">
        <f>130+46</f>
        <v>176</v>
      </c>
      <c r="M17" s="61">
        <f>13*4.5+7.1*4</f>
        <v>86.9</v>
      </c>
      <c r="N17" s="6">
        <f>(L17-M17)*0.8/30*17</f>
        <v>40.391999999999996</v>
      </c>
    </row>
    <row r="18" spans="1:14">
      <c r="A18" s="44" t="s">
        <v>211</v>
      </c>
      <c r="B18" s="44" t="s">
        <v>200</v>
      </c>
      <c r="C18" s="4"/>
      <c r="D18" s="4">
        <v>44942</v>
      </c>
      <c r="E18" s="35">
        <v>44942</v>
      </c>
      <c r="F18" s="40"/>
      <c r="G18" s="5"/>
      <c r="H18" s="5"/>
      <c r="I18" s="5"/>
      <c r="J18" s="5">
        <f>2.9+0.75</f>
        <v>3.65</v>
      </c>
      <c r="K18" s="5"/>
      <c r="L18" s="6">
        <v>14.8</v>
      </c>
      <c r="M18" s="61">
        <f>3.5+3.9</f>
        <v>7.4</v>
      </c>
      <c r="N18" s="6">
        <f>(L18-M18)*0.8</f>
        <v>5.9200000000000008</v>
      </c>
    </row>
    <row r="19" spans="1:14">
      <c r="A19" s="10" t="s">
        <v>112</v>
      </c>
      <c r="B19" s="44" t="s">
        <v>200</v>
      </c>
      <c r="C19" s="4"/>
      <c r="D19" s="4"/>
      <c r="E19" s="35">
        <v>44974</v>
      </c>
      <c r="F19" s="40"/>
      <c r="G19" s="5"/>
      <c r="H19" s="5"/>
      <c r="I19" s="5"/>
      <c r="J19" s="5">
        <f>2.9</f>
        <v>2.9</v>
      </c>
      <c r="K19" s="5"/>
      <c r="L19" s="6">
        <v>47.8</v>
      </c>
      <c r="M19" s="65">
        <v>34.6</v>
      </c>
      <c r="N19" s="59">
        <f>(L19-M19)*0.8/30*13</f>
        <v>4.5759999999999987</v>
      </c>
    </row>
    <row r="20" spans="1:14">
      <c r="A20" s="52" t="s">
        <v>204</v>
      </c>
      <c r="B20" s="52" t="s">
        <v>200</v>
      </c>
      <c r="C20" s="4"/>
      <c r="D20" s="4"/>
      <c r="E20" s="35">
        <v>44918</v>
      </c>
      <c r="F20" s="40"/>
      <c r="G20" s="5"/>
      <c r="H20" s="5">
        <f>0.75+2.9</f>
        <v>3.65</v>
      </c>
      <c r="I20" s="5"/>
      <c r="J20" s="5"/>
      <c r="K20" s="5"/>
      <c r="L20" s="6">
        <v>17.899999999999999</v>
      </c>
      <c r="M20" s="61">
        <v>8.9</v>
      </c>
      <c r="N20" s="6">
        <f t="shared" ref="N20:N25" si="0">(L20-M20)*0.8</f>
        <v>7.1999999999999993</v>
      </c>
    </row>
    <row r="21" spans="1:14">
      <c r="A21" s="44" t="s">
        <v>202</v>
      </c>
      <c r="B21" s="44" t="s">
        <v>200</v>
      </c>
      <c r="C21" s="4"/>
      <c r="D21" s="4"/>
      <c r="E21" s="35">
        <v>44896</v>
      </c>
      <c r="F21" s="40"/>
      <c r="G21" s="5"/>
      <c r="H21" s="5">
        <f>0.75+2.9*2</f>
        <v>6.55</v>
      </c>
      <c r="I21" s="5"/>
      <c r="J21" s="5"/>
      <c r="K21" s="5"/>
      <c r="L21" s="6">
        <v>60</v>
      </c>
      <c r="M21" s="61">
        <f>19.5*2</f>
        <v>39</v>
      </c>
      <c r="N21" s="6">
        <f t="shared" si="0"/>
        <v>16.8</v>
      </c>
    </row>
    <row r="22" spans="1:14">
      <c r="A22" s="44" t="s">
        <v>218</v>
      </c>
      <c r="B22" s="44" t="s">
        <v>200</v>
      </c>
      <c r="C22" s="4"/>
      <c r="D22" s="4"/>
      <c r="E22" s="35">
        <v>44935</v>
      </c>
      <c r="F22" s="40"/>
      <c r="G22" s="5"/>
      <c r="H22" s="5"/>
      <c r="I22" s="5"/>
      <c r="J22" s="5">
        <v>2.9</v>
      </c>
      <c r="K22" s="5"/>
      <c r="L22" s="6">
        <v>29</v>
      </c>
      <c r="M22" s="61">
        <v>13.1</v>
      </c>
      <c r="N22" s="6">
        <f t="shared" si="0"/>
        <v>12.72</v>
      </c>
    </row>
    <row r="23" spans="1:14">
      <c r="A23" s="44" t="s">
        <v>58</v>
      </c>
      <c r="B23" s="44" t="s">
        <v>200</v>
      </c>
      <c r="C23" s="4"/>
      <c r="D23" s="4">
        <v>44935</v>
      </c>
      <c r="E23" s="35">
        <v>44935</v>
      </c>
      <c r="F23" s="40"/>
      <c r="G23" s="5"/>
      <c r="H23" s="5"/>
      <c r="I23" s="5"/>
      <c r="J23" s="5">
        <f>2.9*2</f>
        <v>5.8</v>
      </c>
      <c r="K23" s="5"/>
      <c r="L23" s="6">
        <f>21.5*2</f>
        <v>43</v>
      </c>
      <c r="M23" s="61">
        <f>7.9*2</f>
        <v>15.8</v>
      </c>
      <c r="N23" s="6">
        <f t="shared" si="0"/>
        <v>21.76</v>
      </c>
    </row>
    <row r="24" spans="1:14">
      <c r="A24" s="44" t="s">
        <v>212</v>
      </c>
      <c r="B24" s="44" t="s">
        <v>200</v>
      </c>
      <c r="C24" s="4"/>
      <c r="D24" s="4">
        <v>44942</v>
      </c>
      <c r="E24" s="35">
        <v>44942</v>
      </c>
      <c r="F24" s="40"/>
      <c r="G24" s="5"/>
      <c r="H24" s="5"/>
      <c r="I24" s="5"/>
      <c r="J24" s="5">
        <v>3.9</v>
      </c>
      <c r="K24" s="5"/>
      <c r="L24" s="6">
        <f>47.8</f>
        <v>47.8</v>
      </c>
      <c r="M24" s="61">
        <f>30.7+3.9</f>
        <v>34.6</v>
      </c>
      <c r="N24" s="6">
        <f t="shared" si="0"/>
        <v>10.559999999999997</v>
      </c>
    </row>
    <row r="25" spans="1:14">
      <c r="A25" s="44" t="s">
        <v>186</v>
      </c>
      <c r="B25" s="44" t="s">
        <v>200</v>
      </c>
      <c r="C25" s="4"/>
      <c r="D25" s="4"/>
      <c r="E25" s="4">
        <v>44881</v>
      </c>
      <c r="F25" s="40"/>
      <c r="G25" s="5"/>
      <c r="H25" s="12">
        <f>1.75+2.9*3</f>
        <v>10.45</v>
      </c>
      <c r="I25" s="5"/>
      <c r="J25" s="5"/>
      <c r="K25" s="5"/>
      <c r="L25" s="6">
        <f>50.7</f>
        <v>50.7</v>
      </c>
      <c r="M25" s="61">
        <f>20.5</f>
        <v>20.5</v>
      </c>
      <c r="N25" s="6">
        <f t="shared" si="0"/>
        <v>24.160000000000004</v>
      </c>
    </row>
    <row r="26" spans="1:14">
      <c r="A26" s="10" t="s">
        <v>230</v>
      </c>
      <c r="B26" s="44" t="s">
        <v>200</v>
      </c>
      <c r="C26" s="4"/>
      <c r="D26" s="4"/>
      <c r="E26" s="35">
        <v>44985</v>
      </c>
      <c r="F26" s="40"/>
      <c r="G26" s="5"/>
      <c r="H26" s="5"/>
      <c r="I26" s="5"/>
      <c r="J26" s="5">
        <f>2.9*2</f>
        <v>5.8</v>
      </c>
      <c r="K26" s="5"/>
      <c r="L26" s="6">
        <v>37.799999999999997</v>
      </c>
      <c r="M26" s="83">
        <f>4.5+13.1</f>
        <v>17.600000000000001</v>
      </c>
      <c r="N26" s="70">
        <f>(L26-M26)*0.8/30*1</f>
        <v>0.53866666666666652</v>
      </c>
    </row>
    <row r="27" spans="1:14">
      <c r="A27" s="10" t="s">
        <v>231</v>
      </c>
      <c r="B27" s="44" t="s">
        <v>200</v>
      </c>
      <c r="C27" s="4"/>
      <c r="D27" s="4"/>
      <c r="E27" s="35">
        <v>44978</v>
      </c>
      <c r="F27" s="40"/>
      <c r="G27" s="5"/>
      <c r="H27" s="5"/>
      <c r="I27" s="5"/>
      <c r="J27" s="5">
        <f>2.9</f>
        <v>2.9</v>
      </c>
      <c r="K27" s="5"/>
      <c r="L27" s="6">
        <f>18.5</f>
        <v>18.5</v>
      </c>
      <c r="M27" s="83">
        <v>9.1999999999999993</v>
      </c>
      <c r="N27" s="70">
        <f>(L27-M27)*0.8/30*9</f>
        <v>2.2320000000000007</v>
      </c>
    </row>
    <row r="28" spans="1:14">
      <c r="A28" s="10" t="s">
        <v>231</v>
      </c>
      <c r="B28" s="44" t="s">
        <v>200</v>
      </c>
      <c r="C28" s="4"/>
      <c r="D28" s="4"/>
      <c r="E28" s="35">
        <v>44964</v>
      </c>
      <c r="F28" s="40"/>
      <c r="G28" s="5"/>
      <c r="H28" s="5"/>
      <c r="I28" s="5"/>
      <c r="J28" s="5">
        <f>2.9*2</f>
        <v>5.8</v>
      </c>
      <c r="K28" s="5"/>
      <c r="L28" s="6">
        <v>30</v>
      </c>
      <c r="M28" s="83">
        <v>13.5</v>
      </c>
      <c r="N28" s="70">
        <f>(L28-M28)*0.8/30*23</f>
        <v>10.120000000000001</v>
      </c>
    </row>
    <row r="29" spans="1:14">
      <c r="A29" s="10" t="s">
        <v>234</v>
      </c>
      <c r="B29" s="44" t="s">
        <v>200</v>
      </c>
      <c r="C29" s="4"/>
      <c r="D29" s="4"/>
      <c r="E29" s="35">
        <v>44966</v>
      </c>
      <c r="F29" s="40"/>
      <c r="G29" s="5"/>
      <c r="H29" s="5"/>
      <c r="I29" s="5"/>
      <c r="J29" s="5">
        <f>2.9*12</f>
        <v>34.799999999999997</v>
      </c>
      <c r="K29" s="5"/>
      <c r="L29" s="6">
        <v>178.8</v>
      </c>
      <c r="M29" s="83">
        <f>4.5*7+6.85+7.1+13.1*2</f>
        <v>71.650000000000006</v>
      </c>
      <c r="N29" s="70">
        <f>(L29-M29)*0.8/30*21</f>
        <v>60.004000000000012</v>
      </c>
    </row>
    <row r="30" spans="1:14">
      <c r="A30" s="44" t="s">
        <v>216</v>
      </c>
      <c r="B30" s="44" t="s">
        <v>200</v>
      </c>
      <c r="C30" s="4"/>
      <c r="D30" s="4"/>
      <c r="E30" s="35">
        <v>44949</v>
      </c>
      <c r="F30" s="40"/>
      <c r="G30" s="5"/>
      <c r="H30" s="5">
        <v>1.5</v>
      </c>
      <c r="I30" s="5"/>
      <c r="J30" s="5">
        <f>2.9*6</f>
        <v>17.399999999999999</v>
      </c>
      <c r="K30" s="5"/>
      <c r="L30" s="6">
        <f>100.4</f>
        <v>100.4</v>
      </c>
      <c r="M30" s="61">
        <f>4.5+9.2+7.1*4</f>
        <v>42.099999999999994</v>
      </c>
      <c r="N30" s="6">
        <f>(L30-M30)*0.8</f>
        <v>46.640000000000015</v>
      </c>
    </row>
    <row r="31" spans="1:14">
      <c r="A31" s="44" t="s">
        <v>189</v>
      </c>
      <c r="B31" s="44" t="s">
        <v>200</v>
      </c>
      <c r="C31" s="4"/>
      <c r="D31" s="4"/>
      <c r="E31" s="35">
        <v>44886</v>
      </c>
      <c r="F31" s="40"/>
      <c r="G31" s="5"/>
      <c r="H31" s="5">
        <f>4.65</f>
        <v>4.6500000000000004</v>
      </c>
      <c r="I31" s="5"/>
      <c r="J31" s="5"/>
      <c r="K31" s="5"/>
      <c r="L31" s="6">
        <v>47.7</v>
      </c>
      <c r="M31" s="61">
        <f>30.7+3.9</f>
        <v>34.6</v>
      </c>
      <c r="N31" s="6">
        <f>(L31-M31)*0.8</f>
        <v>10.480000000000002</v>
      </c>
    </row>
    <row r="32" spans="1:14">
      <c r="A32" s="10" t="s">
        <v>189</v>
      </c>
      <c r="B32" s="44" t="s">
        <v>200</v>
      </c>
      <c r="C32" s="35"/>
      <c r="D32" s="35"/>
      <c r="E32" s="4">
        <v>44970</v>
      </c>
      <c r="F32" s="40"/>
      <c r="G32" s="40"/>
      <c r="H32" s="5"/>
      <c r="I32" s="40"/>
      <c r="J32" s="40">
        <f>9*2.9</f>
        <v>26.099999999999998</v>
      </c>
      <c r="K32" s="40"/>
      <c r="L32" s="6">
        <v>94.5</v>
      </c>
      <c r="M32" s="61">
        <f>45+3*7.1+4.5</f>
        <v>70.8</v>
      </c>
      <c r="N32" s="6">
        <f>(L32-M32)*0.8/30*17</f>
        <v>10.744000000000002</v>
      </c>
    </row>
    <row r="33" spans="1:14">
      <c r="A33" s="44" t="s">
        <v>88</v>
      </c>
      <c r="B33" s="44" t="s">
        <v>200</v>
      </c>
      <c r="C33" s="4"/>
      <c r="D33" s="4">
        <v>44928</v>
      </c>
      <c r="E33" s="35">
        <v>44928</v>
      </c>
      <c r="F33" s="40"/>
      <c r="G33" s="5"/>
      <c r="H33" s="5"/>
      <c r="I33" s="5"/>
      <c r="J33" s="5">
        <f>2.9</f>
        <v>2.9</v>
      </c>
      <c r="K33" s="5"/>
      <c r="L33" s="6">
        <v>84.9</v>
      </c>
      <c r="M33" s="61">
        <v>71.5</v>
      </c>
      <c r="N33" s="6">
        <f>(L33-M33)*0.8</f>
        <v>10.720000000000006</v>
      </c>
    </row>
    <row r="34" spans="1:14">
      <c r="A34" s="44" t="s">
        <v>10</v>
      </c>
      <c r="B34" s="44" t="s">
        <v>200</v>
      </c>
      <c r="C34" s="4"/>
      <c r="D34" s="4"/>
      <c r="E34" s="35">
        <v>44921</v>
      </c>
      <c r="F34" s="40"/>
      <c r="G34" s="5"/>
      <c r="H34" s="5">
        <f>9.03+2.9*103</f>
        <v>307.72999999999996</v>
      </c>
      <c r="I34" s="5"/>
      <c r="J34" s="5"/>
      <c r="K34" s="5"/>
      <c r="L34" s="6">
        <f>11.5*10+10*93</f>
        <v>1045</v>
      </c>
      <c r="M34" s="61">
        <f>4.5*93+6.85*10</f>
        <v>487</v>
      </c>
      <c r="N34" s="6">
        <f>(L34-M34)*0.8</f>
        <v>446.40000000000003</v>
      </c>
    </row>
    <row r="35" spans="1:14">
      <c r="A35" s="44" t="s">
        <v>188</v>
      </c>
      <c r="B35" s="44" t="s">
        <v>200</v>
      </c>
      <c r="C35" s="4"/>
      <c r="D35" s="4"/>
      <c r="E35" s="35">
        <v>44886</v>
      </c>
      <c r="F35" s="40"/>
      <c r="G35" s="5"/>
      <c r="H35" s="5">
        <f>4.65</f>
        <v>4.6500000000000004</v>
      </c>
      <c r="I35" s="5"/>
      <c r="J35" s="5"/>
      <c r="K35" s="5"/>
      <c r="L35" s="6">
        <v>18.8</v>
      </c>
      <c r="M35" s="61">
        <f>6.3+3.9</f>
        <v>10.199999999999999</v>
      </c>
      <c r="N35" s="6">
        <f>(L35-M35)*0.8</f>
        <v>6.8800000000000017</v>
      </c>
    </row>
    <row r="36" spans="1:14">
      <c r="A36" s="44" t="s">
        <v>203</v>
      </c>
      <c r="B36" s="44" t="s">
        <v>200</v>
      </c>
      <c r="C36" s="4"/>
      <c r="D36" s="4"/>
      <c r="E36" s="35">
        <v>44901</v>
      </c>
      <c r="F36" s="40"/>
      <c r="G36" s="5"/>
      <c r="H36" s="5">
        <f>0.75+2.9</f>
        <v>3.65</v>
      </c>
      <c r="I36" s="5"/>
      <c r="J36" s="5"/>
      <c r="K36" s="5"/>
      <c r="L36" s="6">
        <v>10</v>
      </c>
      <c r="M36" s="61">
        <f>5.3</f>
        <v>5.3</v>
      </c>
      <c r="N36" s="6">
        <f>(L36-M36)*0.8</f>
        <v>3.7600000000000002</v>
      </c>
    </row>
    <row r="37" spans="1:14">
      <c r="A37" s="10" t="s">
        <v>242</v>
      </c>
      <c r="B37" s="44" t="s">
        <v>200</v>
      </c>
      <c r="C37" s="35"/>
      <c r="D37" s="35"/>
      <c r="E37" s="4">
        <v>44970</v>
      </c>
      <c r="F37" s="40"/>
      <c r="G37" s="40"/>
      <c r="H37" s="5"/>
      <c r="I37" s="40"/>
      <c r="J37" s="40">
        <f>26*2.9</f>
        <v>75.399999999999991</v>
      </c>
      <c r="K37" s="40"/>
      <c r="L37" s="6">
        <f>10*16+11.5*10</f>
        <v>275</v>
      </c>
      <c r="M37" s="61">
        <f>4.5*10+7.1*10</f>
        <v>116</v>
      </c>
      <c r="N37" s="6">
        <f>(L37-M37)*0.8/30*17</f>
        <v>72.08</v>
      </c>
    </row>
    <row r="38" spans="1:14">
      <c r="A38" s="44" t="s">
        <v>223</v>
      </c>
      <c r="B38" s="44" t="s">
        <v>200</v>
      </c>
      <c r="C38" s="4"/>
      <c r="D38" s="4"/>
      <c r="E38" s="35">
        <v>44957</v>
      </c>
      <c r="F38" s="40"/>
      <c r="G38" s="5"/>
      <c r="H38" s="5"/>
      <c r="I38" s="5"/>
      <c r="J38" s="5">
        <f>3*2.9</f>
        <v>8.6999999999999993</v>
      </c>
      <c r="K38" s="5"/>
      <c r="L38" s="6">
        <f>14.9+14.9*2</f>
        <v>44.7</v>
      </c>
      <c r="M38" s="65">
        <f>6.85*3</f>
        <v>20.549999999999997</v>
      </c>
      <c r="N38" s="59">
        <f>(L38-M38)*0.8</f>
        <v>19.320000000000007</v>
      </c>
    </row>
    <row r="39" spans="1:14">
      <c r="A39" s="44" t="s">
        <v>219</v>
      </c>
      <c r="B39" s="44" t="s">
        <v>200</v>
      </c>
      <c r="C39" s="4"/>
      <c r="D39" s="4"/>
      <c r="E39" s="35">
        <v>44931</v>
      </c>
      <c r="F39" s="40"/>
      <c r="G39" s="5"/>
      <c r="H39" s="5"/>
      <c r="I39" s="5"/>
      <c r="J39" s="5">
        <f>2.9*2</f>
        <v>5.8</v>
      </c>
      <c r="K39" s="5"/>
      <c r="L39" s="6">
        <f>21.8</f>
        <v>21.8</v>
      </c>
      <c r="M39" s="61">
        <f>3.5+4.5</f>
        <v>8</v>
      </c>
      <c r="N39" s="6">
        <f>(L39-M39)*0.8</f>
        <v>11.040000000000001</v>
      </c>
    </row>
    <row r="40" spans="1:14">
      <c r="A40" s="44" t="s">
        <v>205</v>
      </c>
      <c r="B40" s="44" t="s">
        <v>200</v>
      </c>
      <c r="C40" s="4"/>
      <c r="D40" s="4"/>
      <c r="E40" s="35">
        <v>44921</v>
      </c>
      <c r="F40" s="40"/>
      <c r="G40" s="5"/>
      <c r="H40" s="5">
        <f>0.75+2.9</f>
        <v>3.65</v>
      </c>
      <c r="I40" s="5"/>
      <c r="J40" s="5"/>
      <c r="K40" s="5"/>
      <c r="L40" s="6">
        <v>14.9</v>
      </c>
      <c r="M40" s="61">
        <v>6.85</v>
      </c>
      <c r="N40" s="18">
        <f>(L40-M40)*0.8</f>
        <v>6.4400000000000013</v>
      </c>
    </row>
    <row r="41" spans="1:14">
      <c r="A41" s="44" t="s">
        <v>205</v>
      </c>
      <c r="B41" s="44" t="s">
        <v>200</v>
      </c>
      <c r="C41" s="4"/>
      <c r="D41" s="4">
        <v>44935</v>
      </c>
      <c r="E41" s="35">
        <v>44935</v>
      </c>
      <c r="F41" s="40"/>
      <c r="G41" s="5"/>
      <c r="H41" s="5"/>
      <c r="I41" s="5"/>
      <c r="J41" s="5">
        <f>2.9+2.9</f>
        <v>5.8</v>
      </c>
      <c r="K41" s="5"/>
      <c r="L41" s="6">
        <v>13.9</v>
      </c>
      <c r="M41" s="61">
        <f>6.3</f>
        <v>6.3</v>
      </c>
      <c r="N41" s="6">
        <f>(L41-M41)*0.8</f>
        <v>6.080000000000001</v>
      </c>
    </row>
    <row r="42" spans="1:14">
      <c r="A42" s="10" t="s">
        <v>205</v>
      </c>
      <c r="B42" s="44" t="s">
        <v>200</v>
      </c>
      <c r="C42" s="4"/>
      <c r="D42" s="4"/>
      <c r="E42" s="35">
        <v>44958</v>
      </c>
      <c r="F42" s="40"/>
      <c r="G42" s="5"/>
      <c r="H42" s="5"/>
      <c r="I42" s="5"/>
      <c r="J42" s="5">
        <v>2.9</v>
      </c>
      <c r="K42" s="5"/>
      <c r="L42" s="6">
        <v>12.5</v>
      </c>
      <c r="M42" s="65">
        <f>6.85</f>
        <v>6.85</v>
      </c>
      <c r="N42" s="78">
        <f>(L42-M42)*0.8</f>
        <v>4.5200000000000005</v>
      </c>
    </row>
    <row r="43" spans="1:14">
      <c r="A43" s="10" t="s">
        <v>232</v>
      </c>
      <c r="B43" s="44" t="s">
        <v>200</v>
      </c>
      <c r="C43" s="4"/>
      <c r="D43" s="4"/>
      <c r="E43" s="35">
        <v>44985</v>
      </c>
      <c r="F43" s="40"/>
      <c r="G43" s="5"/>
      <c r="H43" s="5"/>
      <c r="I43" s="5"/>
      <c r="J43" s="5">
        <f>13*2.9</f>
        <v>37.699999999999996</v>
      </c>
      <c r="K43" s="5"/>
      <c r="L43" s="6">
        <f>206</f>
        <v>206</v>
      </c>
      <c r="M43" s="65">
        <f>34.25+3.5+7.1+7.9+18.4+13.1*3</f>
        <v>110.45</v>
      </c>
      <c r="N43" s="59">
        <f>(L43-M43)*0.8/30*1</f>
        <v>2.548</v>
      </c>
    </row>
    <row r="44" spans="1:14">
      <c r="A44" s="44" t="s">
        <v>195</v>
      </c>
      <c r="B44" s="44" t="s">
        <v>200</v>
      </c>
      <c r="C44" s="4"/>
      <c r="D44" s="4"/>
      <c r="E44" s="35">
        <v>44890</v>
      </c>
      <c r="F44" s="40"/>
      <c r="G44" s="5"/>
      <c r="H44" s="5">
        <f>3.5+2.9*5</f>
        <v>18</v>
      </c>
      <c r="I44" s="5"/>
      <c r="J44" s="5"/>
      <c r="K44" s="5"/>
      <c r="L44" s="6">
        <f>19.9*5</f>
        <v>99.5</v>
      </c>
      <c r="M44" s="61">
        <f>7.1*5</f>
        <v>35.5</v>
      </c>
      <c r="N44" s="6">
        <f>(L44-M44)*0.8</f>
        <v>51.2</v>
      </c>
    </row>
    <row r="45" spans="1:14">
      <c r="A45" s="10" t="s">
        <v>233</v>
      </c>
      <c r="B45" s="44" t="s">
        <v>200</v>
      </c>
      <c r="C45" s="4"/>
      <c r="D45" s="4"/>
      <c r="E45" s="35">
        <v>44971</v>
      </c>
      <c r="F45" s="40"/>
      <c r="G45" s="5"/>
      <c r="H45" s="5"/>
      <c r="I45" s="5"/>
      <c r="J45" s="5">
        <f>2.9*3</f>
        <v>8.6999999999999993</v>
      </c>
      <c r="K45" s="5"/>
      <c r="L45" s="6">
        <v>63.7</v>
      </c>
      <c r="M45" s="65">
        <v>31.1</v>
      </c>
      <c r="N45" s="59">
        <f>(L45-M45)*0.8/30*16</f>
        <v>13.909333333333334</v>
      </c>
    </row>
    <row r="46" spans="1:14">
      <c r="A46" s="10" t="s">
        <v>135</v>
      </c>
      <c r="B46" s="75" t="s">
        <v>200</v>
      </c>
      <c r="C46" s="31"/>
      <c r="D46" s="31"/>
      <c r="E46" s="35">
        <v>44964</v>
      </c>
      <c r="F46" s="40"/>
      <c r="G46" s="5"/>
      <c r="H46" s="5"/>
      <c r="I46" s="5"/>
      <c r="J46" s="5">
        <f>2.9*5</f>
        <v>14.5</v>
      </c>
      <c r="K46" s="5"/>
      <c r="L46" s="6">
        <v>68</v>
      </c>
      <c r="M46" s="65">
        <f>38.45</f>
        <v>38.450000000000003</v>
      </c>
      <c r="N46" s="59">
        <f>(L46-M46)*0.8/30*23</f>
        <v>18.124000000000002</v>
      </c>
    </row>
    <row r="47" spans="1:14">
      <c r="A47" s="44" t="s">
        <v>90</v>
      </c>
      <c r="B47" s="44" t="s">
        <v>200</v>
      </c>
      <c r="C47" s="4"/>
      <c r="D47" s="4"/>
      <c r="E47" s="35">
        <v>44957</v>
      </c>
      <c r="F47" s="40"/>
      <c r="G47" s="5"/>
      <c r="H47" s="5"/>
      <c r="I47" s="5"/>
      <c r="J47" s="5">
        <f>2.9</f>
        <v>2.9</v>
      </c>
      <c r="K47" s="5"/>
      <c r="L47" s="6">
        <v>47.8</v>
      </c>
      <c r="M47" s="65">
        <f>34.6</f>
        <v>34.6</v>
      </c>
      <c r="N47" s="59">
        <f>(L47-M47)*0.8</f>
        <v>10.559999999999997</v>
      </c>
    </row>
    <row r="48" spans="1:14">
      <c r="A48" s="10" t="s">
        <v>226</v>
      </c>
      <c r="B48" s="44" t="s">
        <v>200</v>
      </c>
      <c r="C48" s="4"/>
      <c r="D48" s="4"/>
      <c r="E48" s="35">
        <v>44974</v>
      </c>
      <c r="F48" s="40"/>
      <c r="G48" s="5"/>
      <c r="H48" s="5"/>
      <c r="I48" s="5"/>
      <c r="J48" s="5">
        <v>2.9</v>
      </c>
      <c r="K48" s="5"/>
      <c r="L48" s="6">
        <v>20.9</v>
      </c>
      <c r="M48" s="65">
        <v>9.1999999999999993</v>
      </c>
      <c r="N48" s="59">
        <f>(L48-M48)*0.8/30*13</f>
        <v>4.056</v>
      </c>
    </row>
    <row r="49" spans="1:14">
      <c r="A49" s="10" t="s">
        <v>238</v>
      </c>
      <c r="B49" s="44" t="s">
        <v>200</v>
      </c>
      <c r="C49" s="35"/>
      <c r="D49" s="35"/>
      <c r="E49" s="4">
        <v>44985</v>
      </c>
      <c r="F49" s="40"/>
      <c r="G49" s="40"/>
      <c r="H49" s="5"/>
      <c r="I49" s="40"/>
      <c r="J49" s="40">
        <f>29</f>
        <v>29</v>
      </c>
      <c r="K49" s="40"/>
      <c r="L49" s="6">
        <v>148</v>
      </c>
      <c r="M49" s="61">
        <f>7+63.2</f>
        <v>70.2</v>
      </c>
      <c r="N49" s="6">
        <f>(L49-M49)*0.8/30*1</f>
        <v>2.0746666666666669</v>
      </c>
    </row>
    <row r="50" spans="1:14">
      <c r="A50" s="44" t="s">
        <v>215</v>
      </c>
      <c r="B50" s="44" t="s">
        <v>200</v>
      </c>
      <c r="C50" s="4"/>
      <c r="D50" s="4">
        <v>44944</v>
      </c>
      <c r="E50" s="35">
        <v>44944</v>
      </c>
      <c r="F50" s="40"/>
      <c r="G50" s="5"/>
      <c r="H50" s="5"/>
      <c r="I50" s="5"/>
      <c r="J50" s="5">
        <f>2.9*3</f>
        <v>8.6999999999999993</v>
      </c>
      <c r="K50" s="5"/>
      <c r="L50" s="6">
        <v>37.5</v>
      </c>
      <c r="M50" s="61">
        <f>6.85*3</f>
        <v>20.549999999999997</v>
      </c>
      <c r="N50" s="6">
        <f>(L50-M50)*0.8</f>
        <v>13.560000000000002</v>
      </c>
    </row>
    <row r="51" spans="1:14">
      <c r="A51" s="44" t="s">
        <v>208</v>
      </c>
      <c r="B51" s="44" t="s">
        <v>200</v>
      </c>
      <c r="C51" s="4"/>
      <c r="D51" s="4">
        <v>44935</v>
      </c>
      <c r="E51" s="35">
        <v>44935</v>
      </c>
      <c r="F51" s="40"/>
      <c r="G51" s="5"/>
      <c r="H51" s="5"/>
      <c r="I51" s="5"/>
      <c r="J51" s="5">
        <v>6.8</v>
      </c>
      <c r="K51" s="5"/>
      <c r="L51" s="6">
        <v>35.799999999999997</v>
      </c>
      <c r="M51" s="61">
        <f>8.9*2</f>
        <v>17.8</v>
      </c>
      <c r="N51" s="6">
        <f>(L51-M51)*0.8</f>
        <v>14.399999999999999</v>
      </c>
    </row>
    <row r="52" spans="1:14">
      <c r="A52" s="44" t="s">
        <v>201</v>
      </c>
      <c r="B52" s="44" t="s">
        <v>200</v>
      </c>
      <c r="C52" s="4"/>
      <c r="D52" s="4"/>
      <c r="E52" s="35">
        <v>44909</v>
      </c>
      <c r="F52" s="40"/>
      <c r="G52" s="5"/>
      <c r="H52" s="5">
        <f>0.75+2.9</f>
        <v>3.65</v>
      </c>
      <c r="I52" s="5"/>
      <c r="J52" s="5"/>
      <c r="K52" s="5"/>
      <c r="L52" s="6">
        <v>25.9</v>
      </c>
      <c r="M52" s="61">
        <v>16</v>
      </c>
      <c r="N52" s="6">
        <f>(L52-M52)*0.8</f>
        <v>7.919999999999999</v>
      </c>
    </row>
    <row r="53" spans="1:14">
      <c r="A53" s="44" t="s">
        <v>196</v>
      </c>
      <c r="B53" s="44" t="s">
        <v>200</v>
      </c>
      <c r="C53" s="4"/>
      <c r="D53" s="4"/>
      <c r="E53" s="35">
        <v>44890</v>
      </c>
      <c r="F53" s="40"/>
      <c r="G53" s="5"/>
      <c r="H53" s="5">
        <f>1.75+2.9</f>
        <v>4.6500000000000004</v>
      </c>
      <c r="I53" s="5"/>
      <c r="J53" s="5"/>
      <c r="K53" s="5"/>
      <c r="L53" s="6">
        <f>42.9+4.9</f>
        <v>47.8</v>
      </c>
      <c r="M53" s="61">
        <f>30.7+3.9</f>
        <v>34.6</v>
      </c>
      <c r="N53" s="6">
        <f>(L53-M53)*0.8</f>
        <v>10.559999999999997</v>
      </c>
    </row>
    <row r="54" spans="1:14">
      <c r="A54" s="10" t="s">
        <v>236</v>
      </c>
      <c r="B54" s="44" t="s">
        <v>200</v>
      </c>
      <c r="C54" s="35"/>
      <c r="D54" s="35"/>
      <c r="E54" s="4">
        <v>44984</v>
      </c>
      <c r="F54" s="40"/>
      <c r="G54" s="40"/>
      <c r="H54" s="5"/>
      <c r="I54" s="40"/>
      <c r="J54" s="40">
        <f>4*2.9</f>
        <v>11.6</v>
      </c>
      <c r="K54" s="40"/>
      <c r="L54" s="6">
        <v>59.5</v>
      </c>
      <c r="M54" s="61">
        <f>7+9.2+6.3+3.9</f>
        <v>26.4</v>
      </c>
      <c r="N54" s="6">
        <f>(L54-M54)*0.8/30*3</f>
        <v>2.6480000000000006</v>
      </c>
    </row>
    <row r="55" spans="1:14">
      <c r="A55" s="44" t="s">
        <v>222</v>
      </c>
      <c r="B55" s="44" t="s">
        <v>200</v>
      </c>
      <c r="C55" s="4"/>
      <c r="D55" s="4"/>
      <c r="E55" s="35">
        <v>44950</v>
      </c>
      <c r="F55" s="40"/>
      <c r="G55" s="5"/>
      <c r="H55" s="5"/>
      <c r="I55" s="5"/>
      <c r="J55" s="5">
        <f>2.9</f>
        <v>2.9</v>
      </c>
      <c r="K55" s="5"/>
      <c r="L55" s="6">
        <v>25.9</v>
      </c>
      <c r="M55" s="65">
        <f>16</f>
        <v>16</v>
      </c>
      <c r="N55" s="59">
        <f>(L55-M55)*0.8</f>
        <v>7.919999999999999</v>
      </c>
    </row>
    <row r="56" spans="1:14">
      <c r="A56" s="10" t="s">
        <v>174</v>
      </c>
      <c r="B56" s="44" t="s">
        <v>200</v>
      </c>
      <c r="C56" s="4"/>
      <c r="D56" s="4"/>
      <c r="E56" s="35">
        <v>44980</v>
      </c>
      <c r="F56" s="40"/>
      <c r="G56" s="5"/>
      <c r="H56" s="5"/>
      <c r="I56" s="5"/>
      <c r="J56" s="5">
        <f>2.9*2</f>
        <v>5.8</v>
      </c>
      <c r="K56" s="5"/>
      <c r="L56" s="6">
        <v>35.799999999999997</v>
      </c>
      <c r="M56" s="65">
        <f>16.05</f>
        <v>16.05</v>
      </c>
      <c r="N56" s="59">
        <f>(L56-M56)*0.8/30*7</f>
        <v>3.6866666666666665</v>
      </c>
    </row>
    <row r="57" spans="1:14">
      <c r="A57" s="44" t="s">
        <v>217</v>
      </c>
      <c r="B57" s="44" t="s">
        <v>200</v>
      </c>
      <c r="C57" s="4"/>
      <c r="D57" s="4"/>
      <c r="E57" s="35">
        <v>44942</v>
      </c>
      <c r="F57" s="40"/>
      <c r="G57" s="5"/>
      <c r="H57" s="5"/>
      <c r="I57" s="5"/>
      <c r="J57" s="5">
        <v>2.9</v>
      </c>
      <c r="K57" s="5"/>
      <c r="L57" s="6">
        <v>29</v>
      </c>
      <c r="M57" s="61">
        <v>13.1</v>
      </c>
      <c r="N57" s="6">
        <f>(L57-M57)*0.8</f>
        <v>12.72</v>
      </c>
    </row>
    <row r="58" spans="1:14">
      <c r="A58" s="44" t="s">
        <v>124</v>
      </c>
      <c r="B58" s="44" t="s">
        <v>200</v>
      </c>
      <c r="C58" s="4"/>
      <c r="D58" s="4">
        <v>44938</v>
      </c>
      <c r="E58" s="35">
        <v>44938</v>
      </c>
      <c r="F58" s="40"/>
      <c r="G58" s="5"/>
      <c r="H58" s="5"/>
      <c r="I58" s="5"/>
      <c r="J58" s="5">
        <f>21*2.9+1.5</f>
        <v>62.4</v>
      </c>
      <c r="K58" s="5"/>
      <c r="L58" s="6">
        <f>16*13.5+5*19.9</f>
        <v>315.5</v>
      </c>
      <c r="M58" s="61">
        <f>16*4.5+5*7.1</f>
        <v>107.5</v>
      </c>
      <c r="N58" s="6">
        <f>(L58-M58)*0.8</f>
        <v>166.4</v>
      </c>
    </row>
    <row r="59" spans="1:14">
      <c r="A59" s="44" t="s">
        <v>124</v>
      </c>
      <c r="B59" s="44" t="s">
        <v>200</v>
      </c>
      <c r="C59" s="4"/>
      <c r="D59" s="4">
        <v>44952</v>
      </c>
      <c r="E59" s="35">
        <v>44952</v>
      </c>
      <c r="F59" s="40"/>
      <c r="G59" s="5"/>
      <c r="H59" s="5"/>
      <c r="I59" s="5"/>
      <c r="J59" s="5">
        <f>21*2.9</f>
        <v>60.9</v>
      </c>
      <c r="K59" s="5"/>
      <c r="L59" s="6">
        <f>4*13.5+2*19.9+29</f>
        <v>122.8</v>
      </c>
      <c r="M59" s="61">
        <f>4*4.5+2*7.1+13.1</f>
        <v>45.300000000000004</v>
      </c>
      <c r="N59" s="6">
        <f>(L59-M59)*0.8</f>
        <v>62</v>
      </c>
    </row>
    <row r="60" spans="1:14">
      <c r="A60" s="44" t="s">
        <v>187</v>
      </c>
      <c r="B60" s="44" t="s">
        <v>200</v>
      </c>
      <c r="C60" s="4"/>
      <c r="D60" s="4"/>
      <c r="E60" s="35">
        <v>44883</v>
      </c>
      <c r="F60" s="40"/>
      <c r="G60" s="5"/>
      <c r="H60" s="5">
        <v>4.6500000000000004</v>
      </c>
      <c r="I60" s="5"/>
      <c r="J60" s="5"/>
      <c r="K60" s="5"/>
      <c r="L60" s="6">
        <v>47.9</v>
      </c>
      <c r="M60" s="61">
        <v>19</v>
      </c>
      <c r="N60" s="6">
        <f>(L60-M60)*0.8</f>
        <v>23.12</v>
      </c>
    </row>
    <row r="61" spans="1:14">
      <c r="A61" s="44" t="s">
        <v>16</v>
      </c>
      <c r="B61" s="44" t="s">
        <v>200</v>
      </c>
      <c r="C61" s="4"/>
      <c r="D61" s="4"/>
      <c r="E61" s="35">
        <v>612</v>
      </c>
      <c r="F61" s="40"/>
      <c r="G61" s="5"/>
      <c r="H61" s="5">
        <f>0.75+2.9</f>
        <v>3.65</v>
      </c>
      <c r="I61" s="5"/>
      <c r="J61" s="5"/>
      <c r="K61" s="5"/>
      <c r="L61" s="6">
        <f>25.9+4.9</f>
        <v>30.799999999999997</v>
      </c>
      <c r="M61" s="61">
        <f>16+3.9</f>
        <v>19.899999999999999</v>
      </c>
      <c r="N61" s="6">
        <f>(L61-M61)*0.8</f>
        <v>8.7199999999999989</v>
      </c>
    </row>
    <row r="62" spans="1:14">
      <c r="A62" s="38" t="s">
        <v>16</v>
      </c>
      <c r="B62" s="76" t="s">
        <v>200</v>
      </c>
      <c r="C62" s="15"/>
      <c r="D62" s="15"/>
      <c r="E62" s="36">
        <v>44978</v>
      </c>
      <c r="F62" s="40"/>
      <c r="G62" s="37"/>
      <c r="H62" s="37"/>
      <c r="I62" s="5"/>
      <c r="J62" s="5">
        <f>2.9*4</f>
        <v>11.6</v>
      </c>
      <c r="K62" s="5"/>
      <c r="L62" s="17">
        <v>59.6</v>
      </c>
      <c r="M62" s="92">
        <f>6.85*4</f>
        <v>27.4</v>
      </c>
      <c r="N62" s="85">
        <f>(L62-M62)*0.8/30*9</f>
        <v>7.7280000000000015</v>
      </c>
    </row>
    <row r="63" spans="1:14" hidden="1">
      <c r="A63" s="2" t="s">
        <v>10</v>
      </c>
      <c r="B63" s="2"/>
      <c r="C63" s="4">
        <v>41852</v>
      </c>
      <c r="D63" s="4"/>
      <c r="E63" s="4">
        <v>41852</v>
      </c>
      <c r="F63" s="5"/>
      <c r="G63" s="49"/>
      <c r="H63" s="5">
        <v>10</v>
      </c>
      <c r="I63" s="5"/>
      <c r="J63" s="5"/>
      <c r="K63" s="5">
        <f>F63+H63+J63</f>
        <v>10</v>
      </c>
      <c r="L63" s="6">
        <v>40</v>
      </c>
      <c r="M63" s="61">
        <v>25</v>
      </c>
      <c r="N63" s="6">
        <f t="shared" ref="N63:N96" si="1">(L63-M63)*0.7</f>
        <v>10.5</v>
      </c>
    </row>
    <row r="64" spans="1:14" hidden="1">
      <c r="A64" s="2" t="s">
        <v>17</v>
      </c>
      <c r="B64" s="2"/>
      <c r="C64" s="4"/>
      <c r="D64" s="4"/>
      <c r="E64" s="4">
        <v>42209</v>
      </c>
      <c r="F64" s="5"/>
      <c r="G64" s="49"/>
      <c r="H64" s="5"/>
      <c r="I64" s="5"/>
      <c r="J64" s="5"/>
      <c r="K64" s="5"/>
      <c r="L64" s="6">
        <v>90</v>
      </c>
      <c r="M64" s="61">
        <v>25</v>
      </c>
      <c r="N64" s="6">
        <f t="shared" si="1"/>
        <v>45.5</v>
      </c>
    </row>
    <row r="65" spans="1:14" hidden="1">
      <c r="A65" s="2" t="s">
        <v>15</v>
      </c>
      <c r="B65" s="2"/>
      <c r="C65" s="4">
        <v>42272</v>
      </c>
      <c r="D65" s="4"/>
      <c r="E65" s="4">
        <v>42275</v>
      </c>
      <c r="F65" s="5">
        <v>50</v>
      </c>
      <c r="G65" s="49"/>
      <c r="H65" s="5"/>
      <c r="I65" s="5">
        <f>25/30*3</f>
        <v>2.5</v>
      </c>
      <c r="J65" s="5"/>
      <c r="K65" s="5">
        <f>F65+H65+J65</f>
        <v>50</v>
      </c>
      <c r="L65" s="6">
        <v>40</v>
      </c>
      <c r="M65" s="61">
        <v>25</v>
      </c>
      <c r="N65" s="6">
        <f t="shared" si="1"/>
        <v>10.5</v>
      </c>
    </row>
    <row r="66" spans="1:14" hidden="1">
      <c r="A66" s="2" t="s">
        <v>18</v>
      </c>
      <c r="B66" s="2"/>
      <c r="C66" s="2"/>
      <c r="D66" s="2"/>
      <c r="E66" s="4">
        <v>42335</v>
      </c>
      <c r="F66" s="5"/>
      <c r="G66" s="49"/>
      <c r="H66" s="5"/>
      <c r="I66" s="5"/>
      <c r="J66" s="5"/>
      <c r="K66" s="5"/>
      <c r="L66" s="6">
        <v>90</v>
      </c>
      <c r="M66" s="61">
        <v>25</v>
      </c>
      <c r="N66" s="6">
        <f t="shared" si="1"/>
        <v>45.5</v>
      </c>
    </row>
    <row r="67" spans="1:14" hidden="1">
      <c r="A67" s="2" t="s">
        <v>16</v>
      </c>
      <c r="B67" s="2"/>
      <c r="C67" s="2"/>
      <c r="D67" s="2"/>
      <c r="E67" s="4">
        <v>42396</v>
      </c>
      <c r="F67" s="5"/>
      <c r="G67" s="49"/>
      <c r="H67" s="5"/>
      <c r="I67" s="5"/>
      <c r="J67" s="5"/>
      <c r="K67" s="5"/>
      <c r="L67" s="6">
        <v>90</v>
      </c>
      <c r="M67" s="61">
        <v>25</v>
      </c>
      <c r="N67" s="6">
        <f t="shared" si="1"/>
        <v>45.5</v>
      </c>
    </row>
    <row r="68" spans="1:14" hidden="1">
      <c r="A68" s="2" t="s">
        <v>22</v>
      </c>
      <c r="B68" s="2"/>
      <c r="C68" s="4">
        <v>42546</v>
      </c>
      <c r="D68" s="4"/>
      <c r="E68" s="4">
        <v>42571</v>
      </c>
      <c r="F68" s="5"/>
      <c r="G68" s="49"/>
      <c r="H68" s="5">
        <f>6.9+8.5</f>
        <v>15.4</v>
      </c>
      <c r="I68" s="5">
        <f>25*25/30</f>
        <v>20.833333333333332</v>
      </c>
      <c r="J68" s="5"/>
      <c r="K68" s="5"/>
      <c r="L68" s="6">
        <v>120</v>
      </c>
      <c r="M68" s="61">
        <v>25</v>
      </c>
      <c r="N68" s="6">
        <f t="shared" si="1"/>
        <v>66.5</v>
      </c>
    </row>
    <row r="69" spans="1:14" hidden="1">
      <c r="A69" s="2" t="s">
        <v>23</v>
      </c>
      <c r="B69" s="2"/>
      <c r="C69" s="4">
        <v>42560</v>
      </c>
      <c r="D69" s="4"/>
      <c r="E69" s="4">
        <v>42571</v>
      </c>
      <c r="F69" s="5"/>
      <c r="G69" s="49"/>
      <c r="H69" s="5">
        <v>8.5</v>
      </c>
      <c r="I69" s="5">
        <f>25*41/30</f>
        <v>34.166666666666664</v>
      </c>
      <c r="J69" s="5"/>
      <c r="K69" s="5"/>
      <c r="L69" s="6">
        <v>107.5</v>
      </c>
      <c r="M69" s="61">
        <v>25</v>
      </c>
      <c r="N69" s="6">
        <f t="shared" si="1"/>
        <v>57.749999999999993</v>
      </c>
    </row>
    <row r="70" spans="1:14" hidden="1">
      <c r="A70" s="2" t="s">
        <v>24</v>
      </c>
      <c r="B70" s="2"/>
      <c r="C70" s="4">
        <v>42530</v>
      </c>
      <c r="D70" s="4"/>
      <c r="E70" s="4">
        <v>42579</v>
      </c>
      <c r="F70" s="5"/>
      <c r="G70" s="49"/>
      <c r="H70" s="5">
        <f>8.5+6.9</f>
        <v>15.4</v>
      </c>
      <c r="I70" s="5">
        <f>25*52/30</f>
        <v>43.333333333333336</v>
      </c>
      <c r="J70" s="5"/>
      <c r="K70" s="5"/>
      <c r="L70" s="6">
        <v>90</v>
      </c>
      <c r="M70" s="61">
        <v>25</v>
      </c>
      <c r="N70" s="6">
        <f t="shared" si="1"/>
        <v>45.5</v>
      </c>
    </row>
    <row r="71" spans="1:14" hidden="1">
      <c r="A71" s="2" t="s">
        <v>26</v>
      </c>
      <c r="B71" s="2"/>
      <c r="C71" s="4">
        <v>42633</v>
      </c>
      <c r="D71" s="4"/>
      <c r="E71" s="4">
        <v>42644</v>
      </c>
      <c r="F71" s="5"/>
      <c r="G71" s="49"/>
      <c r="H71" s="5">
        <v>8.17</v>
      </c>
      <c r="I71" s="5">
        <f>25/30*10</f>
        <v>8.3333333333333339</v>
      </c>
      <c r="J71" s="5"/>
      <c r="K71" s="5"/>
      <c r="L71" s="6">
        <v>70</v>
      </c>
      <c r="M71" s="61">
        <v>25</v>
      </c>
      <c r="N71" s="6">
        <f t="shared" si="1"/>
        <v>31.499999999999996</v>
      </c>
    </row>
    <row r="72" spans="1:14" hidden="1">
      <c r="A72" s="2" t="s">
        <v>27</v>
      </c>
      <c r="B72" s="2"/>
      <c r="C72" s="4">
        <v>42656</v>
      </c>
      <c r="D72" s="4"/>
      <c r="E72" s="4">
        <v>42705</v>
      </c>
      <c r="F72" s="5"/>
      <c r="G72" s="49"/>
      <c r="H72" s="5">
        <v>8.17</v>
      </c>
      <c r="I72" s="5">
        <f>M72/30*47</f>
        <v>39.166666666666671</v>
      </c>
      <c r="J72" s="5"/>
      <c r="K72" s="5"/>
      <c r="L72" s="6">
        <v>40</v>
      </c>
      <c r="M72" s="61">
        <v>25</v>
      </c>
      <c r="N72" s="6">
        <f t="shared" si="1"/>
        <v>10.5</v>
      </c>
    </row>
    <row r="73" spans="1:14" hidden="1">
      <c r="A73" s="2" t="s">
        <v>29</v>
      </c>
      <c r="B73" s="2"/>
      <c r="C73" s="4">
        <v>42683</v>
      </c>
      <c r="D73" s="4"/>
      <c r="E73" s="4">
        <v>42718</v>
      </c>
      <c r="F73" s="5"/>
      <c r="G73" s="49"/>
      <c r="H73" s="5">
        <v>8.9700000000000006</v>
      </c>
      <c r="I73" s="5">
        <f>M73/30*35</f>
        <v>42</v>
      </c>
      <c r="J73" s="5"/>
      <c r="K73" s="5"/>
      <c r="L73" s="6">
        <f>105</f>
        <v>105</v>
      </c>
      <c r="M73" s="61">
        <v>36</v>
      </c>
      <c r="N73" s="6">
        <f t="shared" si="1"/>
        <v>48.3</v>
      </c>
    </row>
    <row r="74" spans="1:14" hidden="1">
      <c r="A74" s="2" t="s">
        <v>28</v>
      </c>
      <c r="B74" s="2"/>
      <c r="C74" s="4">
        <v>42711</v>
      </c>
      <c r="D74" s="4"/>
      <c r="E74" s="4">
        <v>42734</v>
      </c>
      <c r="F74" s="5"/>
      <c r="G74" s="49"/>
      <c r="H74" s="5">
        <v>8.17</v>
      </c>
      <c r="I74" s="5">
        <f>M74/30*23</f>
        <v>19.166666666666668</v>
      </c>
      <c r="J74" s="5"/>
      <c r="K74" s="5"/>
      <c r="L74" s="6">
        <v>40</v>
      </c>
      <c r="M74" s="61">
        <v>25</v>
      </c>
      <c r="N74" s="6">
        <f t="shared" si="1"/>
        <v>10.5</v>
      </c>
    </row>
    <row r="75" spans="1:14" hidden="1">
      <c r="A75" s="2" t="s">
        <v>30</v>
      </c>
      <c r="B75" s="2"/>
      <c r="C75" s="4">
        <v>42732</v>
      </c>
      <c r="D75" s="4"/>
      <c r="E75" s="4">
        <v>42759</v>
      </c>
      <c r="F75" s="5"/>
      <c r="G75" s="49"/>
      <c r="H75" s="5">
        <v>18.8</v>
      </c>
      <c r="I75" s="5">
        <f>M75/30*27</f>
        <v>23.400000000000002</v>
      </c>
      <c r="J75" s="5"/>
      <c r="K75" s="5"/>
      <c r="L75" s="6">
        <v>90</v>
      </c>
      <c r="M75" s="61">
        <v>26</v>
      </c>
      <c r="N75" s="6">
        <f t="shared" si="1"/>
        <v>44.8</v>
      </c>
    </row>
    <row r="76" spans="1:14" hidden="1">
      <c r="A76" s="2" t="s">
        <v>31</v>
      </c>
      <c r="B76" s="2"/>
      <c r="C76" s="4">
        <v>42735</v>
      </c>
      <c r="D76" s="4"/>
      <c r="E76" s="4">
        <v>42782</v>
      </c>
      <c r="F76" s="5">
        <v>50</v>
      </c>
      <c r="G76" s="49"/>
      <c r="H76" s="5">
        <v>20.63</v>
      </c>
      <c r="I76" s="5">
        <f>M76/30*46</f>
        <v>42.933333333333337</v>
      </c>
      <c r="J76" s="5"/>
      <c r="K76" s="5"/>
      <c r="L76" s="6">
        <v>92</v>
      </c>
      <c r="M76" s="61">
        <v>28</v>
      </c>
      <c r="N76" s="6">
        <f t="shared" si="1"/>
        <v>44.8</v>
      </c>
    </row>
    <row r="77" spans="1:14" hidden="1">
      <c r="A77" s="2" t="s">
        <v>32</v>
      </c>
      <c r="B77" s="2"/>
      <c r="C77" s="4">
        <v>42857</v>
      </c>
      <c r="D77" s="4"/>
      <c r="E77" s="4">
        <v>42866</v>
      </c>
      <c r="F77" s="5"/>
      <c r="G77" s="49"/>
      <c r="H77" s="5"/>
      <c r="I77" s="5">
        <f>23/30*9</f>
        <v>6.9</v>
      </c>
      <c r="J77" s="5">
        <f>60*0.7</f>
        <v>42</v>
      </c>
      <c r="K77" s="5"/>
      <c r="L77" s="6">
        <v>60</v>
      </c>
      <c r="M77" s="61">
        <v>23</v>
      </c>
      <c r="N77" s="6">
        <f t="shared" si="1"/>
        <v>25.9</v>
      </c>
    </row>
    <row r="78" spans="1:14" hidden="1">
      <c r="A78" s="2" t="s">
        <v>37</v>
      </c>
      <c r="B78" s="2"/>
      <c r="C78" s="4">
        <v>42891</v>
      </c>
      <c r="D78" s="4"/>
      <c r="E78" s="4">
        <v>42915</v>
      </c>
      <c r="F78" s="5"/>
      <c r="G78" s="49"/>
      <c r="H78" s="5">
        <v>6.83</v>
      </c>
      <c r="I78" s="5">
        <f>24/30*24</f>
        <v>19.200000000000003</v>
      </c>
      <c r="J78" s="5"/>
      <c r="K78" s="5"/>
      <c r="L78" s="6">
        <v>70</v>
      </c>
      <c r="M78" s="61">
        <v>24</v>
      </c>
      <c r="N78" s="6">
        <f t="shared" si="1"/>
        <v>32.199999999999996</v>
      </c>
    </row>
    <row r="79" spans="1:14" hidden="1">
      <c r="A79" s="2" t="s">
        <v>39</v>
      </c>
      <c r="B79" s="2"/>
      <c r="C79" s="4">
        <v>43081</v>
      </c>
      <c r="D79" s="4"/>
      <c r="E79" s="4">
        <v>43109</v>
      </c>
      <c r="F79" s="5"/>
      <c r="G79" s="49"/>
      <c r="H79" s="5">
        <v>9.83</v>
      </c>
      <c r="I79" s="5">
        <f>36/30*28</f>
        <v>33.6</v>
      </c>
      <c r="J79" s="5"/>
      <c r="K79" s="5"/>
      <c r="L79" s="6">
        <v>120</v>
      </c>
      <c r="M79" s="61">
        <v>36</v>
      </c>
      <c r="N79" s="6">
        <f t="shared" si="1"/>
        <v>58.8</v>
      </c>
    </row>
    <row r="80" spans="1:14" hidden="1">
      <c r="A80" s="22" t="s">
        <v>56</v>
      </c>
      <c r="B80" s="22"/>
      <c r="C80" s="4">
        <v>43361</v>
      </c>
      <c r="D80" s="4"/>
      <c r="E80" s="4">
        <v>43132</v>
      </c>
      <c r="F80" s="5"/>
      <c r="G80" s="49"/>
      <c r="H80" s="5">
        <v>14.11</v>
      </c>
      <c r="I80" s="5">
        <f>25*4+25/30*12</f>
        <v>110</v>
      </c>
      <c r="J80" s="5"/>
      <c r="K80" s="5"/>
      <c r="L80" s="6">
        <v>75</v>
      </c>
      <c r="M80" s="61">
        <v>25</v>
      </c>
      <c r="N80" s="6">
        <f t="shared" si="1"/>
        <v>35</v>
      </c>
    </row>
    <row r="81" spans="1:15" hidden="1">
      <c r="A81" s="2" t="s">
        <v>40</v>
      </c>
      <c r="B81" s="2"/>
      <c r="C81" s="4">
        <v>43106</v>
      </c>
      <c r="D81" s="4"/>
      <c r="E81" s="4">
        <v>43146</v>
      </c>
      <c r="F81" s="5"/>
      <c r="G81" s="49"/>
      <c r="H81" s="5">
        <v>8.2899999999999991</v>
      </c>
      <c r="I81" s="5">
        <f>25/30*39</f>
        <v>32.5</v>
      </c>
      <c r="J81" s="5"/>
      <c r="K81" s="5"/>
      <c r="L81" s="6">
        <v>70</v>
      </c>
      <c r="M81" s="61">
        <v>26</v>
      </c>
      <c r="N81" s="6">
        <f t="shared" si="1"/>
        <v>30.799999999999997</v>
      </c>
    </row>
    <row r="82" spans="1:15" hidden="1">
      <c r="A82" s="2" t="s">
        <v>44</v>
      </c>
      <c r="B82" s="2"/>
      <c r="C82" s="4">
        <v>43196</v>
      </c>
      <c r="D82" s="4"/>
      <c r="E82" s="4">
        <v>43250</v>
      </c>
      <c r="F82" s="5"/>
      <c r="G82" s="49"/>
      <c r="H82" s="5">
        <v>13.78</v>
      </c>
      <c r="I82" s="5">
        <f>25*24/30+25</f>
        <v>45</v>
      </c>
      <c r="J82" s="5"/>
      <c r="K82" s="5"/>
      <c r="L82" s="6">
        <f>60</f>
        <v>60</v>
      </c>
      <c r="M82" s="61">
        <v>25</v>
      </c>
      <c r="N82" s="6">
        <f t="shared" si="1"/>
        <v>24.5</v>
      </c>
    </row>
    <row r="83" spans="1:15" hidden="1">
      <c r="A83" s="22" t="s">
        <v>47</v>
      </c>
      <c r="B83" s="22"/>
      <c r="C83" s="4">
        <v>43355</v>
      </c>
      <c r="D83" s="4"/>
      <c r="E83" s="4">
        <v>43277</v>
      </c>
      <c r="F83" s="5"/>
      <c r="G83" s="49"/>
      <c r="H83" s="5">
        <v>19.98</v>
      </c>
      <c r="I83" s="5">
        <f>36*2+36/30*16</f>
        <v>91.2</v>
      </c>
      <c r="J83" s="5"/>
      <c r="K83" s="5"/>
      <c r="L83" s="6">
        <v>105</v>
      </c>
      <c r="M83" s="61">
        <v>36</v>
      </c>
      <c r="N83" s="6">
        <f t="shared" si="1"/>
        <v>48.3</v>
      </c>
    </row>
    <row r="84" spans="1:15" hidden="1">
      <c r="A84" s="22" t="s">
        <v>48</v>
      </c>
      <c r="B84" s="22"/>
      <c r="C84" s="4">
        <v>43367</v>
      </c>
      <c r="D84" s="4"/>
      <c r="E84" s="4">
        <v>43284</v>
      </c>
      <c r="F84" s="5"/>
      <c r="G84" s="49"/>
      <c r="H84" s="5">
        <v>9.1</v>
      </c>
      <c r="I84" s="5">
        <f>25+25/30*27</f>
        <v>47.5</v>
      </c>
      <c r="J84" s="5"/>
      <c r="K84" s="5"/>
      <c r="L84" s="6">
        <v>75</v>
      </c>
      <c r="M84" s="61">
        <v>25</v>
      </c>
      <c r="N84" s="6">
        <f t="shared" si="1"/>
        <v>35</v>
      </c>
    </row>
    <row r="85" spans="1:15" hidden="1">
      <c r="A85" s="2" t="s">
        <v>45</v>
      </c>
      <c r="B85" s="2"/>
      <c r="C85" s="4"/>
      <c r="D85" s="4"/>
      <c r="E85" s="4">
        <v>43286</v>
      </c>
      <c r="F85" s="5"/>
      <c r="G85" s="49"/>
      <c r="H85" s="5">
        <v>11.56</v>
      </c>
      <c r="I85" s="5"/>
      <c r="J85" s="5"/>
      <c r="K85" s="5"/>
      <c r="L85" s="6">
        <v>150</v>
      </c>
      <c r="M85" s="61">
        <v>76</v>
      </c>
      <c r="N85" s="6">
        <f t="shared" si="1"/>
        <v>51.8</v>
      </c>
      <c r="O85" s="20"/>
    </row>
    <row r="86" spans="1:15" hidden="1">
      <c r="A86" s="22" t="s">
        <v>49</v>
      </c>
      <c r="B86" s="22"/>
      <c r="C86" s="4">
        <v>43367</v>
      </c>
      <c r="D86" s="4"/>
      <c r="E86" s="4">
        <v>43291</v>
      </c>
      <c r="F86" s="5"/>
      <c r="G86" s="49"/>
      <c r="H86" s="5">
        <v>10.039999999999999</v>
      </c>
      <c r="I86" s="5">
        <f>50+25/30*14</f>
        <v>61.666666666666671</v>
      </c>
      <c r="J86" s="5"/>
      <c r="K86" s="5"/>
      <c r="L86" s="6">
        <v>50</v>
      </c>
      <c r="M86" s="61">
        <v>22</v>
      </c>
      <c r="N86" s="6">
        <f t="shared" si="1"/>
        <v>19.599999999999998</v>
      </c>
    </row>
    <row r="87" spans="1:15" hidden="1">
      <c r="A87" s="22" t="s">
        <v>51</v>
      </c>
      <c r="B87" s="22"/>
      <c r="C87" s="4">
        <v>43358</v>
      </c>
      <c r="D87" s="4"/>
      <c r="E87" s="4">
        <v>43291</v>
      </c>
      <c r="F87" s="5"/>
      <c r="G87" s="49"/>
      <c r="H87" s="5">
        <v>10.039999999999999</v>
      </c>
      <c r="I87" s="5">
        <f>50+25/30*5</f>
        <v>54.166666666666664</v>
      </c>
      <c r="J87" s="5"/>
      <c r="K87" s="5"/>
      <c r="L87" s="6">
        <v>75</v>
      </c>
      <c r="M87" s="61">
        <v>25</v>
      </c>
      <c r="N87" s="6">
        <f t="shared" si="1"/>
        <v>35</v>
      </c>
    </row>
    <row r="88" spans="1:15" hidden="1">
      <c r="A88" s="22" t="s">
        <v>52</v>
      </c>
      <c r="B88" s="22"/>
      <c r="C88" s="4">
        <v>43367</v>
      </c>
      <c r="D88" s="4"/>
      <c r="E88" s="4">
        <v>43308</v>
      </c>
      <c r="F88" s="5"/>
      <c r="G88" s="49"/>
      <c r="H88" s="5">
        <v>10.86</v>
      </c>
      <c r="I88" s="5">
        <f>25+25/30*27</f>
        <v>47.5</v>
      </c>
      <c r="J88" s="5"/>
      <c r="K88" s="5"/>
      <c r="L88" s="6">
        <v>75</v>
      </c>
      <c r="M88" s="61">
        <v>25</v>
      </c>
      <c r="N88" s="6">
        <f t="shared" si="1"/>
        <v>35</v>
      </c>
    </row>
    <row r="89" spans="1:15" hidden="1">
      <c r="A89" s="22" t="s">
        <v>50</v>
      </c>
      <c r="B89" s="22"/>
      <c r="C89" s="4">
        <v>43367</v>
      </c>
      <c r="D89" s="4"/>
      <c r="E89" s="4">
        <v>43312</v>
      </c>
      <c r="F89" s="5"/>
      <c r="G89" s="49"/>
      <c r="H89" s="5">
        <v>10.86</v>
      </c>
      <c r="I89" s="5">
        <f>25+25/30*24</f>
        <v>45</v>
      </c>
      <c r="J89" s="5"/>
      <c r="K89" s="5"/>
      <c r="L89" s="6">
        <v>70</v>
      </c>
      <c r="M89" s="61">
        <v>25</v>
      </c>
      <c r="N89" s="6">
        <f t="shared" si="1"/>
        <v>31.499999999999996</v>
      </c>
    </row>
    <row r="90" spans="1:15" hidden="1">
      <c r="A90" s="22" t="s">
        <v>55</v>
      </c>
      <c r="B90" s="22"/>
      <c r="C90" s="4">
        <v>43363</v>
      </c>
      <c r="D90" s="4"/>
      <c r="E90" s="4">
        <v>43440</v>
      </c>
      <c r="F90" s="5"/>
      <c r="G90" s="49"/>
      <c r="H90" s="5">
        <v>14.11</v>
      </c>
      <c r="I90" s="5">
        <f>25*2+25*16/30</f>
        <v>63.333333333333336</v>
      </c>
      <c r="J90" s="5"/>
      <c r="K90" s="5"/>
      <c r="L90" s="6">
        <v>75</v>
      </c>
      <c r="M90" s="61">
        <v>25</v>
      </c>
      <c r="N90" s="6">
        <f t="shared" si="1"/>
        <v>35</v>
      </c>
    </row>
    <row r="91" spans="1:15" hidden="1">
      <c r="A91" s="22" t="s">
        <v>54</v>
      </c>
      <c r="B91" s="22"/>
      <c r="C91" s="4">
        <v>43167</v>
      </c>
      <c r="D91" s="4"/>
      <c r="E91" s="4">
        <v>43455</v>
      </c>
      <c r="F91" s="5"/>
      <c r="G91" s="49"/>
      <c r="H91" s="5">
        <v>10.86</v>
      </c>
      <c r="I91" s="5">
        <f>9*25+25*13/30</f>
        <v>235.83333333333334</v>
      </c>
      <c r="J91" s="5"/>
      <c r="K91" s="5"/>
      <c r="L91" s="6">
        <v>90</v>
      </c>
      <c r="M91" s="61">
        <v>36</v>
      </c>
      <c r="N91" s="6">
        <f t="shared" si="1"/>
        <v>37.799999999999997</v>
      </c>
    </row>
    <row r="92" spans="1:15" hidden="1">
      <c r="A92" s="39" t="s">
        <v>57</v>
      </c>
      <c r="B92" s="39"/>
      <c r="C92" s="24">
        <v>43478</v>
      </c>
      <c r="D92" s="24"/>
      <c r="E92" s="24">
        <v>43536</v>
      </c>
      <c r="F92" s="5"/>
      <c r="G92" s="49"/>
      <c r="H92" s="25">
        <v>10.86</v>
      </c>
      <c r="I92" s="25">
        <v>25</v>
      </c>
      <c r="J92" s="25"/>
      <c r="K92" s="25"/>
      <c r="L92" s="27">
        <v>70</v>
      </c>
      <c r="M92" s="64">
        <v>25</v>
      </c>
      <c r="N92" s="27">
        <f t="shared" si="1"/>
        <v>31.499999999999996</v>
      </c>
    </row>
    <row r="93" spans="1:15" hidden="1">
      <c r="A93" s="39" t="s">
        <v>59</v>
      </c>
      <c r="B93" s="39"/>
      <c r="C93" s="24">
        <v>43528</v>
      </c>
      <c r="D93" s="24"/>
      <c r="E93" s="24">
        <v>43538</v>
      </c>
      <c r="F93" s="25"/>
      <c r="G93" s="58"/>
      <c r="H93" s="25">
        <v>14.92</v>
      </c>
      <c r="I93" s="25">
        <f>77/30*10</f>
        <v>25.666666666666668</v>
      </c>
      <c r="J93" s="25"/>
      <c r="K93" s="25"/>
      <c r="L93" s="27">
        <v>169</v>
      </c>
      <c r="M93" s="64">
        <f>64+11+2</f>
        <v>77</v>
      </c>
      <c r="N93" s="27">
        <f t="shared" si="1"/>
        <v>64.399999999999991</v>
      </c>
    </row>
    <row r="94" spans="1:15" hidden="1">
      <c r="A94" s="22" t="s">
        <v>58</v>
      </c>
      <c r="B94" s="22"/>
      <c r="C94" s="4">
        <v>43534</v>
      </c>
      <c r="D94" s="4"/>
      <c r="E94" s="4">
        <v>43542</v>
      </c>
      <c r="F94" s="5"/>
      <c r="G94" s="49"/>
      <c r="H94" s="5">
        <f>10.86*2</f>
        <v>21.72</v>
      </c>
      <c r="I94" s="5">
        <v>0</v>
      </c>
      <c r="J94" s="5"/>
      <c r="K94" s="5"/>
      <c r="L94" s="6">
        <v>120</v>
      </c>
      <c r="M94" s="61">
        <f>60+11</f>
        <v>71</v>
      </c>
      <c r="N94" s="6">
        <f t="shared" si="1"/>
        <v>34.299999999999997</v>
      </c>
    </row>
    <row r="95" spans="1:15" hidden="1">
      <c r="A95" s="22" t="s">
        <v>61</v>
      </c>
      <c r="B95" s="22"/>
      <c r="C95" s="4">
        <v>43482</v>
      </c>
      <c r="D95" s="4"/>
      <c r="E95" s="4">
        <v>43542</v>
      </c>
      <c r="F95" s="5"/>
      <c r="G95" s="49"/>
      <c r="H95" s="5">
        <v>11.1</v>
      </c>
      <c r="I95" s="5">
        <f>25*2</f>
        <v>50</v>
      </c>
      <c r="J95" s="5"/>
      <c r="K95" s="5"/>
      <c r="L95" s="6">
        <v>70</v>
      </c>
      <c r="M95" s="61">
        <v>26</v>
      </c>
      <c r="N95" s="6">
        <f t="shared" si="1"/>
        <v>30.799999999999997</v>
      </c>
    </row>
    <row r="96" spans="1:15" hidden="1">
      <c r="A96" s="22" t="s">
        <v>63</v>
      </c>
      <c r="B96" s="22"/>
      <c r="C96" s="4">
        <v>43593</v>
      </c>
      <c r="D96" s="4"/>
      <c r="E96" s="4">
        <v>43605</v>
      </c>
      <c r="F96" s="5"/>
      <c r="G96" s="49"/>
      <c r="H96" s="5">
        <f>10.86*2+20</f>
        <v>41.72</v>
      </c>
      <c r="I96" s="5">
        <f>18/30*12</f>
        <v>7.1999999999999993</v>
      </c>
      <c r="J96" s="5"/>
      <c r="K96" s="5"/>
      <c r="L96" s="6">
        <v>100</v>
      </c>
      <c r="M96" s="61">
        <f>11+7</f>
        <v>18</v>
      </c>
      <c r="N96" s="6">
        <f t="shared" si="1"/>
        <v>57.4</v>
      </c>
    </row>
    <row r="97" spans="1:15" hidden="1">
      <c r="A97" s="22" t="s">
        <v>67</v>
      </c>
      <c r="B97" s="22"/>
      <c r="C97" s="4">
        <v>43600</v>
      </c>
      <c r="D97" s="4"/>
      <c r="E97" s="4">
        <v>43629</v>
      </c>
      <c r="F97" s="5"/>
      <c r="G97" s="49"/>
      <c r="H97" s="5">
        <f>10.86*2</f>
        <v>21.72</v>
      </c>
      <c r="I97" s="5">
        <f>22/30*58</f>
        <v>42.533333333333331</v>
      </c>
      <c r="J97" s="5">
        <v>50</v>
      </c>
      <c r="K97" s="5">
        <f>H97+I97+J97</f>
        <v>114.25333333333333</v>
      </c>
      <c r="L97" s="6">
        <v>60</v>
      </c>
      <c r="M97" s="61">
        <v>25</v>
      </c>
      <c r="N97" s="6">
        <v>0</v>
      </c>
    </row>
    <row r="98" spans="1:15" hidden="1">
      <c r="A98" s="22" t="s">
        <v>66</v>
      </c>
      <c r="B98" s="22"/>
      <c r="C98" s="4">
        <v>43600</v>
      </c>
      <c r="D98" s="4"/>
      <c r="E98" s="4">
        <v>43629</v>
      </c>
      <c r="F98" s="5"/>
      <c r="G98" s="49"/>
      <c r="H98" s="5">
        <f>10.86</f>
        <v>10.86</v>
      </c>
      <c r="I98" s="5">
        <f>39/30*58</f>
        <v>75.400000000000006</v>
      </c>
      <c r="J98" s="5"/>
      <c r="K98" s="5">
        <f>H98+I98</f>
        <v>86.26</v>
      </c>
      <c r="L98" s="6">
        <v>110</v>
      </c>
      <c r="M98" s="61">
        <f>25+11+3</f>
        <v>39</v>
      </c>
      <c r="N98" s="6">
        <v>0</v>
      </c>
      <c r="O98" t="s">
        <v>73</v>
      </c>
    </row>
    <row r="99" spans="1:15" hidden="1">
      <c r="A99" s="22" t="s">
        <v>64</v>
      </c>
      <c r="B99" s="22"/>
      <c r="C99" s="4">
        <v>43627</v>
      </c>
      <c r="D99" s="4"/>
      <c r="E99" s="4">
        <v>43629</v>
      </c>
      <c r="F99" s="5"/>
      <c r="G99" s="49"/>
      <c r="H99" s="5">
        <v>10.86</v>
      </c>
      <c r="I99" s="5">
        <f>25/30*2</f>
        <v>1.6666666666666667</v>
      </c>
      <c r="J99" s="5"/>
      <c r="K99" s="5">
        <f>H99+I99</f>
        <v>12.526666666666666</v>
      </c>
      <c r="L99" s="6">
        <v>75</v>
      </c>
      <c r="M99" s="61">
        <v>33</v>
      </c>
      <c r="N99" s="6">
        <f t="shared" ref="N99:N112" si="2">(L99-M99)*0.7</f>
        <v>29.4</v>
      </c>
    </row>
    <row r="100" spans="1:15" hidden="1">
      <c r="A100" s="22" t="s">
        <v>65</v>
      </c>
      <c r="B100" s="22"/>
      <c r="C100" s="4">
        <v>43622</v>
      </c>
      <c r="D100" s="4"/>
      <c r="E100" s="4">
        <v>43650</v>
      </c>
      <c r="F100" s="5"/>
      <c r="G100" s="49"/>
      <c r="H100" s="5">
        <v>10.86</v>
      </c>
      <c r="I100" s="5"/>
      <c r="J100" s="5"/>
      <c r="K100" s="5"/>
      <c r="L100" s="6">
        <v>120</v>
      </c>
      <c r="M100" s="61">
        <v>60</v>
      </c>
      <c r="N100" s="6">
        <f t="shared" si="2"/>
        <v>42</v>
      </c>
    </row>
    <row r="101" spans="1:15" hidden="1">
      <c r="A101" s="22" t="s">
        <v>71</v>
      </c>
      <c r="B101" s="22"/>
      <c r="C101" s="4">
        <v>43635</v>
      </c>
      <c r="D101" s="4"/>
      <c r="E101" s="4">
        <v>43662</v>
      </c>
      <c r="F101" s="5"/>
      <c r="G101" s="49"/>
      <c r="H101" s="5">
        <f>10.86*2</f>
        <v>21.72</v>
      </c>
      <c r="I101" s="5"/>
      <c r="J101" s="5"/>
      <c r="K101" s="5"/>
      <c r="L101" s="6">
        <v>70</v>
      </c>
      <c r="M101" s="61">
        <v>26</v>
      </c>
      <c r="N101" s="6">
        <f t="shared" si="2"/>
        <v>30.799999999999997</v>
      </c>
      <c r="O101" t="s">
        <v>72</v>
      </c>
    </row>
    <row r="102" spans="1:15" hidden="1">
      <c r="A102" s="2" t="s">
        <v>75</v>
      </c>
      <c r="B102" s="2"/>
      <c r="C102" s="4">
        <v>43656</v>
      </c>
      <c r="D102" s="4"/>
      <c r="E102" s="4">
        <v>43711</v>
      </c>
      <c r="F102" s="5"/>
      <c r="G102" s="49"/>
      <c r="H102" s="5">
        <v>10.86</v>
      </c>
      <c r="I102" s="5">
        <f>36/30*48</f>
        <v>57.599999999999994</v>
      </c>
      <c r="J102" s="5"/>
      <c r="K102" s="5"/>
      <c r="L102" s="6">
        <v>105</v>
      </c>
      <c r="M102" s="61">
        <v>36</v>
      </c>
      <c r="N102" s="6">
        <f t="shared" si="2"/>
        <v>48.3</v>
      </c>
    </row>
    <row r="103" spans="1:15" hidden="1">
      <c r="A103" s="2" t="s">
        <v>76</v>
      </c>
      <c r="B103" s="2"/>
      <c r="C103" s="4">
        <v>43677</v>
      </c>
      <c r="D103" s="4"/>
      <c r="E103" s="4">
        <v>43713</v>
      </c>
      <c r="F103" s="5"/>
      <c r="G103" s="49"/>
      <c r="H103" s="5">
        <v>24.06</v>
      </c>
      <c r="I103" s="5">
        <f>80/30*35</f>
        <v>93.333333333333329</v>
      </c>
      <c r="J103" s="5">
        <v>40</v>
      </c>
      <c r="K103" s="5"/>
      <c r="L103" s="6">
        <v>149</v>
      </c>
      <c r="M103" s="61">
        <v>80</v>
      </c>
      <c r="N103" s="6">
        <f t="shared" si="2"/>
        <v>48.3</v>
      </c>
      <c r="O103" t="s">
        <v>79</v>
      </c>
    </row>
    <row r="104" spans="1:15" hidden="1">
      <c r="A104" s="2" t="s">
        <v>81</v>
      </c>
      <c r="B104" s="2"/>
      <c r="C104" s="4">
        <v>43788</v>
      </c>
      <c r="D104" s="4"/>
      <c r="E104" s="4">
        <v>43865</v>
      </c>
      <c r="F104" s="5"/>
      <c r="G104" s="49"/>
      <c r="H104" s="5">
        <v>9.14</v>
      </c>
      <c r="I104" s="5">
        <f>25/30*45</f>
        <v>37.5</v>
      </c>
      <c r="J104" s="5"/>
      <c r="K104" s="5"/>
      <c r="L104" s="6">
        <v>90</v>
      </c>
      <c r="M104" s="61">
        <v>25</v>
      </c>
      <c r="N104" s="6">
        <f t="shared" si="2"/>
        <v>45.5</v>
      </c>
    </row>
    <row r="105" spans="1:15" hidden="1">
      <c r="A105" s="22" t="s">
        <v>87</v>
      </c>
      <c r="B105" s="22"/>
      <c r="C105" s="35">
        <v>43878</v>
      </c>
      <c r="D105" s="35"/>
      <c r="E105" s="35">
        <v>43892</v>
      </c>
      <c r="F105" s="5"/>
      <c r="G105" s="49"/>
      <c r="H105" s="5">
        <v>12.19</v>
      </c>
      <c r="I105" s="5">
        <v>5.5</v>
      </c>
      <c r="J105" s="5"/>
      <c r="K105" s="5"/>
      <c r="L105" s="6">
        <v>25</v>
      </c>
      <c r="M105" s="61">
        <v>11</v>
      </c>
      <c r="N105" s="6">
        <f t="shared" si="2"/>
        <v>9.7999999999999989</v>
      </c>
    </row>
    <row r="106" spans="1:15" hidden="1">
      <c r="A106" s="22" t="s">
        <v>89</v>
      </c>
      <c r="B106" s="22"/>
      <c r="C106" s="35">
        <v>43908</v>
      </c>
      <c r="D106" s="35"/>
      <c r="E106" s="35">
        <v>43893</v>
      </c>
      <c r="F106" s="5"/>
      <c r="G106" s="49"/>
      <c r="H106" s="5">
        <v>9.6</v>
      </c>
      <c r="I106" s="5">
        <v>5.5</v>
      </c>
      <c r="J106" s="5"/>
      <c r="K106" s="5"/>
      <c r="L106" s="6">
        <v>25</v>
      </c>
      <c r="M106" s="61">
        <v>11</v>
      </c>
      <c r="N106" s="6">
        <f t="shared" si="2"/>
        <v>9.7999999999999989</v>
      </c>
    </row>
    <row r="107" spans="1:15" hidden="1">
      <c r="A107" s="22" t="s">
        <v>85</v>
      </c>
      <c r="B107" s="22"/>
      <c r="C107" s="35">
        <v>43881</v>
      </c>
      <c r="D107" s="35"/>
      <c r="E107" s="35">
        <v>43895</v>
      </c>
      <c r="F107" s="5"/>
      <c r="G107" s="49"/>
      <c r="H107" s="5">
        <v>9.14</v>
      </c>
      <c r="I107" s="5">
        <f>11/30*15</f>
        <v>5.5</v>
      </c>
      <c r="J107" s="5"/>
      <c r="K107" s="5"/>
      <c r="L107" s="6">
        <v>25</v>
      </c>
      <c r="M107" s="61">
        <v>11</v>
      </c>
      <c r="N107" s="6">
        <f t="shared" si="2"/>
        <v>9.7999999999999989</v>
      </c>
    </row>
    <row r="108" spans="1:15" hidden="1">
      <c r="A108" s="22" t="s">
        <v>82</v>
      </c>
      <c r="B108" s="22"/>
      <c r="C108" s="35">
        <v>40235</v>
      </c>
      <c r="D108" s="35"/>
      <c r="E108" s="35">
        <v>43901</v>
      </c>
      <c r="F108" s="5"/>
      <c r="G108" s="49"/>
      <c r="H108" s="5">
        <v>9.6</v>
      </c>
      <c r="I108" s="5">
        <f>11/2</f>
        <v>5.5</v>
      </c>
      <c r="J108" s="5"/>
      <c r="K108" s="5"/>
      <c r="L108" s="6">
        <v>25</v>
      </c>
      <c r="M108" s="61">
        <v>11</v>
      </c>
      <c r="N108" s="6">
        <f t="shared" si="2"/>
        <v>9.7999999999999989</v>
      </c>
    </row>
    <row r="109" spans="1:15" hidden="1">
      <c r="A109" s="22" t="s">
        <v>84</v>
      </c>
      <c r="B109" s="22"/>
      <c r="C109" s="35">
        <v>43889</v>
      </c>
      <c r="D109" s="35"/>
      <c r="E109" s="35">
        <v>43903</v>
      </c>
      <c r="F109" s="5"/>
      <c r="G109" s="49"/>
      <c r="H109" s="5">
        <v>9.14</v>
      </c>
      <c r="I109" s="5">
        <f>11/30*15</f>
        <v>5.5</v>
      </c>
      <c r="J109" s="5"/>
      <c r="K109" s="5"/>
      <c r="L109" s="6">
        <v>25</v>
      </c>
      <c r="M109" s="61">
        <v>11</v>
      </c>
      <c r="N109" s="6">
        <f t="shared" si="2"/>
        <v>9.7999999999999989</v>
      </c>
    </row>
    <row r="110" spans="1:15" hidden="1">
      <c r="A110" s="22" t="s">
        <v>80</v>
      </c>
      <c r="B110" s="22"/>
      <c r="C110" s="35">
        <v>43873</v>
      </c>
      <c r="D110" s="35"/>
      <c r="E110" s="35">
        <v>43910</v>
      </c>
      <c r="F110" s="5"/>
      <c r="G110" s="49"/>
      <c r="H110" s="5">
        <v>21.84</v>
      </c>
      <c r="I110" s="5">
        <f>56/30*38</f>
        <v>70.933333333333337</v>
      </c>
      <c r="J110" s="5"/>
      <c r="K110" s="5"/>
      <c r="L110" s="6">
        <v>120</v>
      </c>
      <c r="M110" s="61">
        <v>56</v>
      </c>
      <c r="N110" s="6">
        <f t="shared" si="2"/>
        <v>44.8</v>
      </c>
    </row>
    <row r="111" spans="1:15" hidden="1">
      <c r="A111" s="22" t="s">
        <v>83</v>
      </c>
      <c r="B111" s="22"/>
      <c r="C111" s="35">
        <v>43872</v>
      </c>
      <c r="D111" s="35"/>
      <c r="E111" s="35">
        <v>43913</v>
      </c>
      <c r="F111" s="5"/>
      <c r="G111" s="49"/>
      <c r="H111" s="5">
        <v>12.24</v>
      </c>
      <c r="I111" s="5">
        <f>45/30*42</f>
        <v>63</v>
      </c>
      <c r="J111" s="5"/>
      <c r="K111" s="5"/>
      <c r="L111" s="6">
        <v>85</v>
      </c>
      <c r="M111" s="61">
        <v>45</v>
      </c>
      <c r="N111" s="6">
        <f t="shared" si="2"/>
        <v>28</v>
      </c>
    </row>
    <row r="112" spans="1:15" hidden="1">
      <c r="A112" s="22" t="s">
        <v>88</v>
      </c>
      <c r="B112" s="22"/>
      <c r="C112" s="35">
        <v>43855</v>
      </c>
      <c r="D112" s="35"/>
      <c r="E112" s="35">
        <v>43941</v>
      </c>
      <c r="F112" s="5"/>
      <c r="G112" s="49"/>
      <c r="H112" s="5">
        <v>13.93</v>
      </c>
      <c r="I112" s="5">
        <f>56/30*85</f>
        <v>158.66666666666666</v>
      </c>
      <c r="J112" s="5"/>
      <c r="K112" s="5"/>
      <c r="L112" s="6">
        <v>110</v>
      </c>
      <c r="M112" s="61">
        <v>56</v>
      </c>
      <c r="N112" s="6">
        <f t="shared" si="2"/>
        <v>37.799999999999997</v>
      </c>
    </row>
    <row r="113" spans="1:16" hidden="1">
      <c r="A113" s="22" t="s">
        <v>90</v>
      </c>
      <c r="B113" s="22"/>
      <c r="C113" s="35" t="s">
        <v>96</v>
      </c>
      <c r="D113" s="35"/>
      <c r="E113" s="35">
        <v>44015</v>
      </c>
      <c r="F113" s="5" t="s">
        <v>160</v>
      </c>
      <c r="G113" s="49">
        <v>12.5</v>
      </c>
      <c r="H113" s="5">
        <v>11.29</v>
      </c>
      <c r="I113" s="5">
        <f>100</f>
        <v>100</v>
      </c>
      <c r="J113" s="5"/>
      <c r="K113" s="5"/>
      <c r="L113" s="6">
        <v>75</v>
      </c>
      <c r="M113" s="61">
        <f>25+11</f>
        <v>36</v>
      </c>
      <c r="N113" s="6">
        <f>12.5+(62.5-M113)*0.7</f>
        <v>31.049999999999997</v>
      </c>
      <c r="P113" s="41"/>
    </row>
    <row r="114" spans="1:16" hidden="1">
      <c r="A114" s="22" t="s">
        <v>97</v>
      </c>
      <c r="B114" s="22"/>
      <c r="C114" s="35">
        <v>43990</v>
      </c>
      <c r="D114" s="35"/>
      <c r="E114" s="35">
        <v>44036</v>
      </c>
      <c r="F114" s="5"/>
      <c r="G114" s="49"/>
      <c r="H114" s="5">
        <v>8.75</v>
      </c>
      <c r="I114" s="5">
        <f>56/30*46</f>
        <v>85.866666666666674</v>
      </c>
      <c r="J114" s="5"/>
      <c r="K114" s="5"/>
      <c r="L114" s="6">
        <v>110</v>
      </c>
      <c r="M114" s="61">
        <f>45+11</f>
        <v>56</v>
      </c>
      <c r="N114" s="6">
        <f>(L114-M114)*0.7</f>
        <v>37.799999999999997</v>
      </c>
    </row>
    <row r="115" spans="1:16" hidden="1">
      <c r="A115" s="22" t="s">
        <v>95</v>
      </c>
      <c r="B115" s="22"/>
      <c r="C115" s="35">
        <v>44028</v>
      </c>
      <c r="D115" s="35"/>
      <c r="E115" s="35">
        <v>44040</v>
      </c>
      <c r="F115" s="5"/>
      <c r="G115" s="49"/>
      <c r="H115" s="5">
        <v>8.75</v>
      </c>
      <c r="I115" s="5">
        <f>41/30*12</f>
        <v>16.399999999999999</v>
      </c>
      <c r="J115" s="5"/>
      <c r="K115" s="5"/>
      <c r="L115" s="6">
        <v>60</v>
      </c>
      <c r="M115" s="61">
        <v>41</v>
      </c>
      <c r="N115" s="6">
        <f>(L115-M115)*0.7</f>
        <v>13.299999999999999</v>
      </c>
    </row>
    <row r="116" spans="1:16" hidden="1">
      <c r="A116" s="22" t="s">
        <v>98</v>
      </c>
      <c r="B116" s="22"/>
      <c r="C116" s="35">
        <v>44048</v>
      </c>
      <c r="D116" s="35"/>
      <c r="E116" s="35">
        <v>44081</v>
      </c>
      <c r="F116" s="5" t="s">
        <v>160</v>
      </c>
      <c r="G116" s="49">
        <v>17.5</v>
      </c>
      <c r="H116" s="5">
        <v>27.88</v>
      </c>
      <c r="I116" s="5">
        <f>58/30*32</f>
        <v>61.866666666666667</v>
      </c>
      <c r="J116" s="5">
        <v>125</v>
      </c>
      <c r="K116" s="5"/>
      <c r="L116" s="6">
        <v>140</v>
      </c>
      <c r="M116" s="61">
        <f>25+33</f>
        <v>58</v>
      </c>
      <c r="N116" s="6">
        <f>17.5+64.5*0.7</f>
        <v>62.65</v>
      </c>
      <c r="P116" s="41"/>
    </row>
    <row r="117" spans="1:16" hidden="1">
      <c r="A117" s="22" t="s">
        <v>91</v>
      </c>
      <c r="B117" s="22"/>
      <c r="C117" s="35">
        <v>44011</v>
      </c>
      <c r="D117" s="35"/>
      <c r="E117" s="35">
        <v>44084</v>
      </c>
      <c r="F117" s="5"/>
      <c r="G117" s="49"/>
      <c r="H117" s="5">
        <v>11.29</v>
      </c>
      <c r="I117" s="5">
        <f>25/30*71</f>
        <v>59.166666666666671</v>
      </c>
      <c r="J117" s="5"/>
      <c r="K117" s="5"/>
      <c r="L117" s="6">
        <v>40</v>
      </c>
      <c r="M117" s="61">
        <v>25</v>
      </c>
      <c r="N117" s="6">
        <f>(L117-M117)*0.7</f>
        <v>10.5</v>
      </c>
    </row>
    <row r="118" spans="1:16" hidden="1">
      <c r="A118" s="2" t="s">
        <v>99</v>
      </c>
      <c r="B118" s="2"/>
      <c r="C118" s="35">
        <v>44084</v>
      </c>
      <c r="D118" s="35"/>
      <c r="E118" s="35">
        <v>44105</v>
      </c>
      <c r="F118" s="5" t="s">
        <v>160</v>
      </c>
      <c r="G118" s="49">
        <v>5</v>
      </c>
      <c r="H118" s="5">
        <v>12.24</v>
      </c>
      <c r="I118" s="5">
        <f>25/30*20</f>
        <v>16.666666666666668</v>
      </c>
      <c r="J118" s="5"/>
      <c r="K118" s="5"/>
      <c r="L118" s="43">
        <v>40</v>
      </c>
      <c r="M118" s="61">
        <v>22</v>
      </c>
      <c r="N118" s="6">
        <f>5+13*0.7</f>
        <v>14.1</v>
      </c>
      <c r="P118" s="41"/>
    </row>
    <row r="119" spans="1:16" hidden="1">
      <c r="A119" s="2" t="s">
        <v>102</v>
      </c>
      <c r="B119" s="2"/>
      <c r="C119" s="4" t="s">
        <v>103</v>
      </c>
      <c r="D119" s="4"/>
      <c r="E119" s="4">
        <v>44110</v>
      </c>
      <c r="F119" s="5" t="s">
        <v>160</v>
      </c>
      <c r="G119" s="49">
        <v>10</v>
      </c>
      <c r="H119" s="5">
        <v>36.65</v>
      </c>
      <c r="I119" s="5">
        <f>115/30*26</f>
        <v>99.666666666666671</v>
      </c>
      <c r="J119" s="5"/>
      <c r="K119" s="5"/>
      <c r="L119" s="6">
        <v>180</v>
      </c>
      <c r="M119" s="61">
        <v>115</v>
      </c>
      <c r="N119" s="6">
        <f>10+55*0.7</f>
        <v>48.5</v>
      </c>
      <c r="P119" s="41"/>
    </row>
    <row r="120" spans="1:16" hidden="1">
      <c r="A120" s="2" t="s">
        <v>94</v>
      </c>
      <c r="B120" s="2"/>
      <c r="C120" s="35">
        <v>44124</v>
      </c>
      <c r="D120" s="35"/>
      <c r="E120" s="35">
        <v>44124</v>
      </c>
      <c r="F120" s="5"/>
      <c r="G120" s="49"/>
      <c r="H120" s="5">
        <v>7.25</v>
      </c>
      <c r="I120" s="5">
        <v>0</v>
      </c>
      <c r="J120" s="5"/>
      <c r="K120" s="5"/>
      <c r="L120" s="6">
        <v>25</v>
      </c>
      <c r="M120" s="61">
        <v>11</v>
      </c>
      <c r="N120" s="6">
        <f>(L120-M120)*0.7</f>
        <v>9.7999999999999989</v>
      </c>
    </row>
    <row r="121" spans="1:16" hidden="1">
      <c r="A121" s="2" t="s">
        <v>100</v>
      </c>
      <c r="B121" s="2"/>
      <c r="C121" s="4">
        <v>44018</v>
      </c>
      <c r="D121" s="4"/>
      <c r="E121" s="4">
        <v>44124</v>
      </c>
      <c r="F121" s="40"/>
      <c r="G121" s="2"/>
      <c r="H121" s="5">
        <v>9.5</v>
      </c>
      <c r="I121" s="5">
        <f>25/30*104</f>
        <v>86.666666666666671</v>
      </c>
      <c r="J121" s="5"/>
      <c r="K121" s="5"/>
      <c r="L121" s="6">
        <v>70</v>
      </c>
      <c r="M121" s="61">
        <v>25</v>
      </c>
      <c r="N121" s="6">
        <f>(L121-M121)*0.7</f>
        <v>31.499999999999996</v>
      </c>
    </row>
    <row r="122" spans="1:16" hidden="1">
      <c r="A122" s="2" t="s">
        <v>101</v>
      </c>
      <c r="B122" s="2"/>
      <c r="C122" s="4">
        <v>44070</v>
      </c>
      <c r="D122" s="4"/>
      <c r="E122" s="4">
        <v>44131</v>
      </c>
      <c r="F122" s="40"/>
      <c r="G122" s="2"/>
      <c r="H122" s="5">
        <v>13.93</v>
      </c>
      <c r="I122" s="5">
        <f>71/30*60</f>
        <v>142</v>
      </c>
      <c r="J122" s="5"/>
      <c r="K122" s="5"/>
      <c r="L122" s="6">
        <v>120</v>
      </c>
      <c r="M122" s="61">
        <f>60+11</f>
        <v>71</v>
      </c>
      <c r="N122" s="6">
        <f>(L122-M122)*0.7</f>
        <v>34.299999999999997</v>
      </c>
    </row>
    <row r="123" spans="1:16" hidden="1">
      <c r="A123" s="22" t="s">
        <v>104</v>
      </c>
      <c r="B123" s="22"/>
      <c r="C123" s="4">
        <v>44159</v>
      </c>
      <c r="D123" s="4"/>
      <c r="E123" s="4">
        <v>44187</v>
      </c>
      <c r="F123" s="40"/>
      <c r="G123" s="2"/>
      <c r="H123" s="5">
        <v>13.93</v>
      </c>
      <c r="I123" s="5">
        <f>36/30*28</f>
        <v>33.6</v>
      </c>
      <c r="J123" s="5"/>
      <c r="K123" s="5"/>
      <c r="L123" s="6">
        <v>110</v>
      </c>
      <c r="M123" s="61">
        <f>25+11</f>
        <v>36</v>
      </c>
      <c r="N123" s="6">
        <f>(L123-M123)*0.7</f>
        <v>51.8</v>
      </c>
    </row>
    <row r="124" spans="1:16" hidden="1">
      <c r="A124" s="22" t="s">
        <v>120</v>
      </c>
      <c r="B124" s="22"/>
      <c r="C124" s="4">
        <v>44169</v>
      </c>
      <c r="D124" s="4"/>
      <c r="E124" s="4">
        <v>44208</v>
      </c>
      <c r="F124" s="5" t="s">
        <v>160</v>
      </c>
      <c r="G124" s="49">
        <v>10</v>
      </c>
      <c r="H124" s="5"/>
      <c r="I124" s="5">
        <f>41/30*38</f>
        <v>51.933333333333337</v>
      </c>
      <c r="J124" s="5"/>
      <c r="K124" s="5"/>
      <c r="L124" s="6">
        <v>70</v>
      </c>
      <c r="M124" s="61">
        <v>45</v>
      </c>
      <c r="N124" s="5">
        <f>10+(60-45)*0.7</f>
        <v>20.5</v>
      </c>
      <c r="O124" s="1" t="s">
        <v>145</v>
      </c>
    </row>
    <row r="125" spans="1:16" hidden="1">
      <c r="A125" s="22" t="s">
        <v>108</v>
      </c>
      <c r="B125" s="22"/>
      <c r="C125" s="4">
        <v>44185</v>
      </c>
      <c r="D125" s="4"/>
      <c r="E125" s="4">
        <v>44242</v>
      </c>
      <c r="F125" s="5" t="s">
        <v>160</v>
      </c>
      <c r="G125" s="49">
        <v>20</v>
      </c>
      <c r="H125" s="5">
        <v>26.48</v>
      </c>
      <c r="I125" s="5">
        <f>50/30*55</f>
        <v>91.666666666666671</v>
      </c>
      <c r="J125" s="5">
        <v>160</v>
      </c>
      <c r="K125" s="5"/>
      <c r="L125" s="6">
        <v>190</v>
      </c>
      <c r="M125" s="61">
        <v>61</v>
      </c>
      <c r="N125" s="5">
        <f>(20+(170-61)*0.7)</f>
        <v>96.3</v>
      </c>
      <c r="O125" s="1" t="s">
        <v>145</v>
      </c>
    </row>
    <row r="126" spans="1:16" hidden="1">
      <c r="A126" s="22" t="s">
        <v>109</v>
      </c>
      <c r="B126" s="22"/>
      <c r="C126" s="4">
        <v>44209</v>
      </c>
      <c r="D126" s="4"/>
      <c r="E126" s="4">
        <v>44250</v>
      </c>
      <c r="F126" s="5" t="s">
        <v>160</v>
      </c>
      <c r="G126" s="49">
        <v>22.5</v>
      </c>
      <c r="H126" s="5">
        <v>22.83</v>
      </c>
      <c r="I126" s="5">
        <f>100/30*40</f>
        <v>133.33333333333334</v>
      </c>
      <c r="J126" s="5">
        <v>125</v>
      </c>
      <c r="K126" s="5"/>
      <c r="L126" s="6">
        <v>210</v>
      </c>
      <c r="M126" s="61">
        <v>100</v>
      </c>
      <c r="N126" s="6">
        <f>(22.5+87.5*0.7)</f>
        <v>83.75</v>
      </c>
    </row>
    <row r="127" spans="1:16" hidden="1">
      <c r="A127" s="2" t="s">
        <v>113</v>
      </c>
      <c r="B127" s="2"/>
      <c r="C127" s="4">
        <v>44245</v>
      </c>
      <c r="D127" s="4"/>
      <c r="E127" s="4">
        <v>44271</v>
      </c>
      <c r="F127" s="5" t="s">
        <v>160</v>
      </c>
      <c r="G127" s="49">
        <v>15</v>
      </c>
      <c r="H127" s="5">
        <v>26.76</v>
      </c>
      <c r="I127" s="5">
        <f>67/30*28</f>
        <v>62.533333333333331</v>
      </c>
      <c r="J127" s="5"/>
      <c r="K127" s="5"/>
      <c r="L127" s="6">
        <v>140</v>
      </c>
      <c r="M127" s="61">
        <v>67</v>
      </c>
      <c r="N127" s="6">
        <f>(15+0.7*58)</f>
        <v>55.599999999999994</v>
      </c>
    </row>
    <row r="128" spans="1:16" hidden="1">
      <c r="A128" s="2" t="s">
        <v>114</v>
      </c>
      <c r="B128" s="2"/>
      <c r="C128" s="4">
        <v>44222</v>
      </c>
      <c r="D128" s="4"/>
      <c r="E128" s="4">
        <v>44279</v>
      </c>
      <c r="F128" s="5" t="s">
        <v>160</v>
      </c>
      <c r="G128" s="49">
        <v>12.5</v>
      </c>
      <c r="H128" s="5">
        <v>13.4</v>
      </c>
      <c r="I128" s="5">
        <f>56/30*58</f>
        <v>108.26666666666667</v>
      </c>
      <c r="J128" s="5">
        <v>100</v>
      </c>
      <c r="K128" s="5"/>
      <c r="L128" s="6">
        <v>140</v>
      </c>
      <c r="M128" s="61">
        <v>56</v>
      </c>
      <c r="N128" s="5">
        <f>(12.5+71.5*0.7)</f>
        <v>62.55</v>
      </c>
      <c r="O128" s="1" t="s">
        <v>145</v>
      </c>
    </row>
    <row r="129" spans="1:15" hidden="1">
      <c r="A129" s="2" t="s">
        <v>112</v>
      </c>
      <c r="B129" s="2"/>
      <c r="C129" s="4">
        <v>44270</v>
      </c>
      <c r="D129" s="4"/>
      <c r="E129" s="4">
        <v>44286</v>
      </c>
      <c r="F129" s="5" t="s">
        <v>160</v>
      </c>
      <c r="G129" s="49">
        <v>17.5</v>
      </c>
      <c r="H129" s="5">
        <v>31.96</v>
      </c>
      <c r="I129" s="5">
        <f>55/30*16</f>
        <v>29.333333333333332</v>
      </c>
      <c r="J129" s="5">
        <v>75</v>
      </c>
      <c r="K129" s="5"/>
      <c r="L129" s="6">
        <v>100</v>
      </c>
      <c r="M129" s="61">
        <v>55</v>
      </c>
      <c r="N129" s="6">
        <f>(17.5+27.5*0.7)</f>
        <v>36.75</v>
      </c>
    </row>
    <row r="130" spans="1:15" hidden="1">
      <c r="A130" s="2" t="s">
        <v>119</v>
      </c>
      <c r="B130" s="2"/>
      <c r="C130" s="4">
        <v>44281</v>
      </c>
      <c r="D130" s="4"/>
      <c r="E130" s="4">
        <v>44316</v>
      </c>
      <c r="F130" s="40"/>
      <c r="G130" s="2"/>
      <c r="H130" s="5">
        <v>14.26</v>
      </c>
      <c r="I130" s="5">
        <f>45/30*34</f>
        <v>51</v>
      </c>
      <c r="J130" s="5"/>
      <c r="K130" s="5"/>
      <c r="L130" s="6">
        <v>110</v>
      </c>
      <c r="M130" s="61">
        <v>45</v>
      </c>
      <c r="N130" s="6">
        <f>(65*0.7)</f>
        <v>45.5</v>
      </c>
    </row>
    <row r="131" spans="1:15" hidden="1">
      <c r="A131" s="22" t="s">
        <v>121</v>
      </c>
      <c r="B131" s="22"/>
      <c r="C131" s="4">
        <v>44316</v>
      </c>
      <c r="D131" s="4"/>
      <c r="E131" s="4">
        <v>44354</v>
      </c>
      <c r="F131" s="40"/>
      <c r="G131" s="2"/>
      <c r="H131" s="5">
        <v>15.15</v>
      </c>
      <c r="I131" s="5">
        <f>36/30*37</f>
        <v>44.4</v>
      </c>
      <c r="J131" s="5"/>
      <c r="K131" s="5"/>
      <c r="L131" s="6">
        <v>110</v>
      </c>
      <c r="M131" s="61">
        <v>36</v>
      </c>
      <c r="N131" s="5">
        <f>(L131-M131)*0.7</f>
        <v>51.8</v>
      </c>
      <c r="O131" s="1" t="s">
        <v>145</v>
      </c>
    </row>
    <row r="132" spans="1:15" hidden="1">
      <c r="A132" s="22" t="s">
        <v>126</v>
      </c>
      <c r="B132" s="22"/>
      <c r="C132" s="4">
        <v>44336</v>
      </c>
      <c r="D132" s="4"/>
      <c r="E132" s="4">
        <v>44370</v>
      </c>
      <c r="F132" s="5" t="s">
        <v>161</v>
      </c>
      <c r="G132" s="49">
        <v>17.5</v>
      </c>
      <c r="H132" s="5">
        <v>35.78</v>
      </c>
      <c r="I132" s="5">
        <f>58/30*33</f>
        <v>63.8</v>
      </c>
      <c r="J132" s="5">
        <v>50</v>
      </c>
      <c r="K132" s="5"/>
      <c r="L132" s="6">
        <v>150</v>
      </c>
      <c r="M132" s="61">
        <v>58</v>
      </c>
      <c r="N132" s="6">
        <f>(17.5+74.5*0.7)</f>
        <v>69.650000000000006</v>
      </c>
    </row>
    <row r="133" spans="1:15" hidden="1">
      <c r="A133" s="44" t="s">
        <v>125</v>
      </c>
      <c r="B133" s="44"/>
      <c r="C133" s="4">
        <v>44342</v>
      </c>
      <c r="D133" s="4"/>
      <c r="E133" s="4">
        <v>44386</v>
      </c>
      <c r="F133" s="5" t="s">
        <v>160</v>
      </c>
      <c r="G133" s="49">
        <v>12.5</v>
      </c>
      <c r="H133" s="5">
        <v>15.46</v>
      </c>
      <c r="I133" s="5">
        <f>36/30*43</f>
        <v>51.6</v>
      </c>
      <c r="J133" s="5">
        <f>50+45</f>
        <v>95</v>
      </c>
      <c r="K133" s="5"/>
      <c r="L133" s="6">
        <v>80</v>
      </c>
      <c r="M133" s="61">
        <v>33</v>
      </c>
      <c r="N133" s="6">
        <f>12.5+(L133-M133-12.5)*0.7</f>
        <v>36.65</v>
      </c>
    </row>
    <row r="134" spans="1:15" hidden="1">
      <c r="A134" s="44" t="s">
        <v>129</v>
      </c>
      <c r="B134" s="44"/>
      <c r="C134" s="4">
        <v>44348</v>
      </c>
      <c r="D134" s="4"/>
      <c r="E134" s="4">
        <v>44389</v>
      </c>
      <c r="F134" s="5" t="s">
        <v>160</v>
      </c>
      <c r="G134" s="49">
        <v>12.5</v>
      </c>
      <c r="H134" s="5">
        <v>26.22</v>
      </c>
      <c r="I134" s="5">
        <f>71/30*42</f>
        <v>99.4</v>
      </c>
      <c r="J134" s="5">
        <f>50+45</f>
        <v>95</v>
      </c>
      <c r="K134" s="5"/>
      <c r="L134" s="6">
        <v>140</v>
      </c>
      <c r="M134" s="61">
        <v>71</v>
      </c>
      <c r="N134" s="6">
        <f>(12.5+(127.5-71)*0.7)</f>
        <v>52.05</v>
      </c>
    </row>
    <row r="135" spans="1:15" hidden="1">
      <c r="A135" s="44" t="s">
        <v>124</v>
      </c>
      <c r="B135" s="44"/>
      <c r="C135" s="4">
        <v>44348</v>
      </c>
      <c r="D135" s="4"/>
      <c r="E135" s="4">
        <v>44389</v>
      </c>
      <c r="F135" s="40"/>
      <c r="G135" s="2"/>
      <c r="H135" s="5">
        <v>11.62</v>
      </c>
      <c r="I135" s="5">
        <f>26/30*42</f>
        <v>36.4</v>
      </c>
      <c r="J135" s="5">
        <v>65</v>
      </c>
      <c r="K135" s="5"/>
      <c r="L135" s="6">
        <v>70</v>
      </c>
      <c r="M135" s="61">
        <v>26</v>
      </c>
      <c r="N135" s="6">
        <f>(70-26)*0.7</f>
        <v>30.799999999999997</v>
      </c>
    </row>
    <row r="136" spans="1:15" hidden="1">
      <c r="A136" s="44" t="s">
        <v>132</v>
      </c>
      <c r="B136" s="44"/>
      <c r="C136" s="4">
        <v>44407</v>
      </c>
      <c r="D136" s="4"/>
      <c r="E136" s="4">
        <v>44461</v>
      </c>
      <c r="F136" s="40"/>
      <c r="G136" s="2"/>
      <c r="H136" s="5">
        <v>9.8800000000000008</v>
      </c>
      <c r="I136" s="5">
        <f>25/30*52</f>
        <v>43.333333333333336</v>
      </c>
      <c r="J136" s="5"/>
      <c r="K136" s="5"/>
      <c r="L136" s="6">
        <v>70</v>
      </c>
      <c r="M136" s="61">
        <v>25</v>
      </c>
      <c r="N136" s="6">
        <f>45*0.7</f>
        <v>31.499999999999996</v>
      </c>
    </row>
    <row r="137" spans="1:15" hidden="1">
      <c r="A137" s="44" t="s">
        <v>133</v>
      </c>
      <c r="B137" s="44"/>
      <c r="C137" s="4">
        <v>44432</v>
      </c>
      <c r="D137" s="4"/>
      <c r="E137" s="4">
        <v>44467</v>
      </c>
      <c r="F137" s="40"/>
      <c r="G137" s="2"/>
      <c r="H137" s="5">
        <v>9.8800000000000008</v>
      </c>
      <c r="I137" s="5">
        <f>25/30*34</f>
        <v>28.333333333333336</v>
      </c>
      <c r="J137" s="5"/>
      <c r="K137" s="5"/>
      <c r="L137" s="6">
        <v>70</v>
      </c>
      <c r="M137" s="61">
        <v>25</v>
      </c>
      <c r="N137" s="6">
        <f>45*0.7</f>
        <v>31.499999999999996</v>
      </c>
    </row>
    <row r="138" spans="1:15" hidden="1">
      <c r="A138" s="44" t="s">
        <v>141</v>
      </c>
      <c r="B138" s="44"/>
      <c r="C138" s="35">
        <v>44459</v>
      </c>
      <c r="D138" s="35"/>
      <c r="E138" s="35">
        <v>44481</v>
      </c>
      <c r="F138" s="10" t="s">
        <v>161</v>
      </c>
      <c r="G138" s="12">
        <v>10</v>
      </c>
      <c r="H138" s="5">
        <v>15.15</v>
      </c>
      <c r="I138" s="5">
        <f>46/30*22</f>
        <v>33.733333333333334</v>
      </c>
      <c r="J138" s="5">
        <v>80</v>
      </c>
      <c r="K138" s="5"/>
      <c r="L138" s="6">
        <v>120</v>
      </c>
      <c r="M138" s="61">
        <v>46</v>
      </c>
      <c r="N138" s="6">
        <f>10+(120-56)*0.7</f>
        <v>54.8</v>
      </c>
    </row>
    <row r="139" spans="1:15" hidden="1">
      <c r="A139" s="44" t="s">
        <v>140</v>
      </c>
      <c r="B139" s="44"/>
      <c r="C139" s="35">
        <v>44449</v>
      </c>
      <c r="D139" s="35"/>
      <c r="E139" s="35">
        <v>44482</v>
      </c>
      <c r="F139" s="5" t="s">
        <v>160</v>
      </c>
      <c r="G139" s="49">
        <v>10</v>
      </c>
      <c r="H139" s="5">
        <v>13.4</v>
      </c>
      <c r="I139" s="5">
        <f>60/30*33</f>
        <v>66</v>
      </c>
      <c r="J139" s="5">
        <v>80</v>
      </c>
      <c r="K139" s="5"/>
      <c r="L139" s="6">
        <v>120</v>
      </c>
      <c r="M139" s="61">
        <v>61</v>
      </c>
      <c r="N139" s="6">
        <f>(10+49*0.7)</f>
        <v>44.3</v>
      </c>
    </row>
    <row r="140" spans="1:15" hidden="1">
      <c r="A140" s="44" t="s">
        <v>137</v>
      </c>
      <c r="B140" s="44"/>
      <c r="C140" s="35">
        <v>44474</v>
      </c>
      <c r="D140" s="35"/>
      <c r="E140" s="35">
        <v>44487</v>
      </c>
      <c r="F140" s="10" t="s">
        <v>161</v>
      </c>
      <c r="G140" s="12">
        <v>12.5</v>
      </c>
      <c r="H140" s="5">
        <v>15.15</v>
      </c>
      <c r="I140" s="5">
        <f>71/30*13</f>
        <v>30.766666666666666</v>
      </c>
      <c r="J140" s="5">
        <v>95</v>
      </c>
      <c r="K140" s="5"/>
      <c r="L140" s="6">
        <v>140</v>
      </c>
      <c r="M140" s="61">
        <v>71</v>
      </c>
      <c r="N140" s="6">
        <f>12.5+(56.5)*0.7</f>
        <v>52.05</v>
      </c>
    </row>
    <row r="141" spans="1:15" hidden="1">
      <c r="A141" s="44" t="s">
        <v>143</v>
      </c>
      <c r="B141" s="44"/>
      <c r="C141" s="35">
        <v>43717</v>
      </c>
      <c r="D141" s="35"/>
      <c r="E141" s="35">
        <v>44505</v>
      </c>
      <c r="F141" s="40"/>
      <c r="G141" s="49"/>
      <c r="H141" s="5">
        <v>13.4</v>
      </c>
      <c r="I141" s="5">
        <f>36*25+36/30*26</f>
        <v>931.2</v>
      </c>
      <c r="J141" s="5"/>
      <c r="K141" s="5"/>
      <c r="L141" s="6">
        <v>100</v>
      </c>
      <c r="M141" s="61">
        <v>36</v>
      </c>
      <c r="N141" s="6">
        <f>(100-36)*0.7</f>
        <v>44.8</v>
      </c>
    </row>
    <row r="142" spans="1:15" hidden="1">
      <c r="A142" s="44" t="s">
        <v>139</v>
      </c>
      <c r="B142" s="44"/>
      <c r="C142" s="35">
        <v>44492</v>
      </c>
      <c r="D142" s="35"/>
      <c r="E142" s="35">
        <v>44539</v>
      </c>
      <c r="F142" s="40"/>
      <c r="G142" s="49"/>
      <c r="H142" s="5">
        <v>16.350000000000001</v>
      </c>
      <c r="I142" s="5">
        <f>71/30*46</f>
        <v>108.86666666666667</v>
      </c>
      <c r="J142" s="5">
        <v>95</v>
      </c>
      <c r="K142" s="5"/>
      <c r="L142" s="6">
        <v>140</v>
      </c>
      <c r="M142" s="61">
        <v>71</v>
      </c>
      <c r="N142" s="6">
        <f>(140-71)*0.7/30*21</f>
        <v>33.809999999999995</v>
      </c>
    </row>
    <row r="143" spans="1:15" hidden="1">
      <c r="A143" s="44" t="s">
        <v>144</v>
      </c>
      <c r="B143" s="44"/>
      <c r="C143" s="35">
        <v>44526</v>
      </c>
      <c r="D143" s="35"/>
      <c r="E143" s="35">
        <v>44550</v>
      </c>
      <c r="F143" s="5" t="s">
        <v>160</v>
      </c>
      <c r="G143" s="49">
        <v>12.5</v>
      </c>
      <c r="H143" s="5">
        <v>13.4</v>
      </c>
      <c r="I143" s="5">
        <f>83/30*24</f>
        <v>66.400000000000006</v>
      </c>
      <c r="J143" s="5"/>
      <c r="K143" s="5"/>
      <c r="L143" s="6">
        <v>160</v>
      </c>
      <c r="M143" s="61">
        <v>94</v>
      </c>
      <c r="N143" s="12">
        <f>12.5+(160-12.5-94)*0.7</f>
        <v>49.949999999999996</v>
      </c>
    </row>
    <row r="144" spans="1:15" hidden="1">
      <c r="A144" s="44" t="s">
        <v>149</v>
      </c>
      <c r="B144" s="44"/>
      <c r="C144" s="35">
        <v>44880</v>
      </c>
      <c r="D144" s="35"/>
      <c r="E144" s="35">
        <v>44575</v>
      </c>
      <c r="F144" s="40"/>
      <c r="G144" s="49"/>
      <c r="H144" s="5">
        <v>13.4</v>
      </c>
      <c r="I144" s="5"/>
      <c r="J144" s="5">
        <v>50</v>
      </c>
      <c r="K144" s="5"/>
      <c r="L144" s="6">
        <v>140</v>
      </c>
      <c r="M144" s="61">
        <f>71</f>
        <v>71</v>
      </c>
      <c r="N144" s="12">
        <f>(140-71)*0.7</f>
        <v>48.3</v>
      </c>
    </row>
    <row r="145" spans="1:14" hidden="1">
      <c r="A145" s="44" t="s">
        <v>146</v>
      </c>
      <c r="B145" s="44"/>
      <c r="C145" s="4">
        <v>44586</v>
      </c>
      <c r="D145" s="4"/>
      <c r="E145" s="4">
        <v>44615</v>
      </c>
      <c r="F145" s="10" t="s">
        <v>161</v>
      </c>
      <c r="G145" s="12">
        <v>12.5</v>
      </c>
      <c r="H145" s="5">
        <v>15.46</v>
      </c>
      <c r="I145" s="5">
        <f>27/30*28</f>
        <v>25.2</v>
      </c>
      <c r="J145" s="5">
        <v>110</v>
      </c>
      <c r="K145" s="5"/>
      <c r="L145" s="6">
        <v>124</v>
      </c>
      <c r="M145" s="61">
        <v>51</v>
      </c>
      <c r="N145" s="6">
        <f>12.5+(124-63.5)*0.7</f>
        <v>54.849999999999994</v>
      </c>
    </row>
    <row r="146" spans="1:14" hidden="1">
      <c r="A146" s="44" t="s">
        <v>148</v>
      </c>
      <c r="B146" s="44"/>
      <c r="C146" s="4">
        <v>44579</v>
      </c>
      <c r="D146" s="4"/>
      <c r="E146" s="4">
        <v>44594</v>
      </c>
      <c r="F146" s="40"/>
      <c r="G146" s="49"/>
      <c r="H146" s="5">
        <v>13.4</v>
      </c>
      <c r="I146" s="5">
        <f>22/30*14</f>
        <v>10.266666666666666</v>
      </c>
      <c r="J146" s="5">
        <v>30</v>
      </c>
      <c r="K146" s="5"/>
      <c r="L146" s="6">
        <v>50</v>
      </c>
      <c r="M146" s="61">
        <v>22</v>
      </c>
      <c r="N146" s="6">
        <f>(50-22)*0.7</f>
        <v>19.599999999999998</v>
      </c>
    </row>
    <row r="147" spans="1:14" hidden="1">
      <c r="A147" s="44" t="s">
        <v>150</v>
      </c>
      <c r="B147" s="44"/>
      <c r="C147" s="4">
        <v>44899</v>
      </c>
      <c r="D147" s="4"/>
      <c r="E147" s="4">
        <v>44607</v>
      </c>
      <c r="F147" s="12" t="s">
        <v>160</v>
      </c>
      <c r="G147" s="12">
        <v>12.5</v>
      </c>
      <c r="H147" s="5">
        <v>13.4</v>
      </c>
      <c r="I147" s="5">
        <f>71/30*61</f>
        <v>144.36666666666667</v>
      </c>
      <c r="J147" s="5">
        <v>80</v>
      </c>
      <c r="K147" s="5"/>
      <c r="L147" s="6">
        <v>120</v>
      </c>
      <c r="M147" s="61">
        <v>60</v>
      </c>
      <c r="N147" s="6">
        <f>12.5+(120-72.5)*0.7</f>
        <v>45.75</v>
      </c>
    </row>
    <row r="148" spans="1:14" hidden="1">
      <c r="A148" s="44" t="s">
        <v>151</v>
      </c>
      <c r="B148" s="44"/>
      <c r="C148" s="4">
        <v>44926</v>
      </c>
      <c r="D148" s="4"/>
      <c r="E148" s="4">
        <v>44649</v>
      </c>
      <c r="F148" s="40"/>
      <c r="G148" s="40"/>
      <c r="H148" s="5">
        <v>9.0299999999999994</v>
      </c>
      <c r="I148" s="5">
        <f>25*2+25/30*29</f>
        <v>74.166666666666671</v>
      </c>
      <c r="J148" s="5">
        <v>80</v>
      </c>
      <c r="K148" s="5"/>
      <c r="L148" s="6">
        <v>67.5</v>
      </c>
      <c r="M148" s="61">
        <v>25</v>
      </c>
      <c r="N148" s="6">
        <f>(67.5-25)*0.7</f>
        <v>29.749999999999996</v>
      </c>
    </row>
    <row r="149" spans="1:14" hidden="1">
      <c r="A149" s="44" t="s">
        <v>152</v>
      </c>
      <c r="B149" s="44"/>
      <c r="C149" s="4">
        <v>44852</v>
      </c>
      <c r="D149" s="4"/>
      <c r="E149" s="4">
        <v>44649</v>
      </c>
      <c r="F149" s="40"/>
      <c r="G149" s="40"/>
      <c r="H149" s="5">
        <v>9.0299999999999994</v>
      </c>
      <c r="I149" s="5">
        <f>45*4+45/30*13</f>
        <v>199.5</v>
      </c>
      <c r="J149" s="5">
        <v>80</v>
      </c>
      <c r="K149" s="5"/>
      <c r="L149" s="6">
        <v>67.5</v>
      </c>
      <c r="M149" s="61">
        <v>45</v>
      </c>
      <c r="N149" s="6">
        <f>(L149-M149)*0.7</f>
        <v>15.749999999999998</v>
      </c>
    </row>
    <row r="150" spans="1:14" hidden="1">
      <c r="A150" s="44" t="s">
        <v>153</v>
      </c>
      <c r="B150" s="44"/>
      <c r="C150" s="4">
        <v>44623</v>
      </c>
      <c r="D150" s="4"/>
      <c r="E150" s="4">
        <v>44623</v>
      </c>
      <c r="F150" s="40"/>
      <c r="G150" s="40"/>
      <c r="H150" s="5">
        <v>11.03</v>
      </c>
      <c r="I150" s="5">
        <v>0</v>
      </c>
      <c r="J150" s="5">
        <v>15</v>
      </c>
      <c r="K150" s="5"/>
      <c r="L150" s="6">
        <v>30</v>
      </c>
      <c r="M150" s="61">
        <v>12</v>
      </c>
      <c r="N150" s="6">
        <f>(L150-M150)*0.7</f>
        <v>12.6</v>
      </c>
    </row>
    <row r="151" spans="1:14" hidden="1">
      <c r="A151" s="44" t="s">
        <v>154</v>
      </c>
      <c r="B151" s="44"/>
      <c r="C151" s="4">
        <v>44881</v>
      </c>
      <c r="D151" s="4"/>
      <c r="E151" s="4">
        <v>44628</v>
      </c>
      <c r="F151" s="40"/>
      <c r="G151" s="40"/>
      <c r="H151" s="5">
        <v>9.0299999999999994</v>
      </c>
      <c r="I151" s="5">
        <f>65*3+65/30*22</f>
        <v>242.66666666666666</v>
      </c>
      <c r="J151" s="5">
        <v>95</v>
      </c>
      <c r="K151" s="5"/>
      <c r="L151" s="6">
        <v>112</v>
      </c>
      <c r="M151" s="61">
        <v>65</v>
      </c>
      <c r="N151" s="6">
        <f>(L151-M151)*0.7</f>
        <v>32.9</v>
      </c>
    </row>
    <row r="152" spans="1:14" hidden="1">
      <c r="A152" s="44" t="s">
        <v>155</v>
      </c>
      <c r="B152" s="44"/>
      <c r="C152" s="4">
        <v>44490</v>
      </c>
      <c r="D152" s="4"/>
      <c r="E152" s="4">
        <v>44648</v>
      </c>
      <c r="F152" s="40"/>
      <c r="G152" s="40"/>
      <c r="H152" s="5">
        <v>13.4</v>
      </c>
      <c r="I152" s="5">
        <f>45*5+45/30*7</f>
        <v>235.5</v>
      </c>
      <c r="J152" s="5">
        <v>80</v>
      </c>
      <c r="K152" s="5"/>
      <c r="L152" s="6">
        <v>67.5</v>
      </c>
      <c r="M152" s="61">
        <v>45</v>
      </c>
      <c r="N152" s="6">
        <f>(L152-M152)*0.7</f>
        <v>15.749999999999998</v>
      </c>
    </row>
    <row r="153" spans="1:14" hidden="1">
      <c r="A153" s="44" t="s">
        <v>156</v>
      </c>
      <c r="B153" s="44"/>
      <c r="C153" s="4">
        <v>44489</v>
      </c>
      <c r="D153" s="4"/>
      <c r="E153" s="4">
        <v>44651</v>
      </c>
      <c r="F153" s="40"/>
      <c r="G153" s="40"/>
      <c r="H153" s="5">
        <v>15.46</v>
      </c>
      <c r="I153" s="5">
        <f>50*5+50/10</f>
        <v>255</v>
      </c>
      <c r="J153" s="5">
        <v>145</v>
      </c>
      <c r="K153" s="5"/>
      <c r="L153" s="6">
        <v>125</v>
      </c>
      <c r="M153" s="61">
        <v>50</v>
      </c>
      <c r="N153" s="6">
        <f>(L153-M153)*0.7</f>
        <v>52.5</v>
      </c>
    </row>
    <row r="154" spans="1:14" hidden="1">
      <c r="A154" s="44" t="s">
        <v>157</v>
      </c>
      <c r="B154" s="44"/>
      <c r="C154" s="4">
        <v>44627</v>
      </c>
      <c r="D154" s="4"/>
      <c r="E154" s="4">
        <v>44627</v>
      </c>
      <c r="F154" s="10" t="s">
        <v>161</v>
      </c>
      <c r="G154" s="12">
        <v>10</v>
      </c>
      <c r="H154" s="5">
        <v>15.46</v>
      </c>
      <c r="I154" s="5">
        <v>0</v>
      </c>
      <c r="J154" s="5">
        <v>0</v>
      </c>
      <c r="K154" s="5"/>
      <c r="L154" s="6">
        <v>100</v>
      </c>
      <c r="M154" s="61">
        <v>44</v>
      </c>
      <c r="N154" s="6">
        <f>10+(46)*0.7</f>
        <v>42.199999999999996</v>
      </c>
    </row>
    <row r="155" spans="1:14" hidden="1">
      <c r="A155" s="44" t="s">
        <v>158</v>
      </c>
      <c r="B155" s="44"/>
      <c r="C155" s="4">
        <v>44627</v>
      </c>
      <c r="D155" s="4"/>
      <c r="E155" s="4">
        <v>44627</v>
      </c>
      <c r="F155" s="10" t="s">
        <v>161</v>
      </c>
      <c r="G155" s="12">
        <v>12.5</v>
      </c>
      <c r="H155" s="5">
        <v>15.46</v>
      </c>
      <c r="I155" s="5">
        <v>0</v>
      </c>
      <c r="J155" s="5">
        <v>0</v>
      </c>
      <c r="K155" s="5"/>
      <c r="L155" s="6">
        <v>125</v>
      </c>
      <c r="M155" s="61">
        <v>55</v>
      </c>
      <c r="N155" s="6">
        <f>12.5+(57.5)*0.7</f>
        <v>52.75</v>
      </c>
    </row>
    <row r="156" spans="1:14" hidden="1">
      <c r="A156" s="44" t="s">
        <v>168</v>
      </c>
      <c r="B156" s="44"/>
      <c r="C156" s="4">
        <v>44636</v>
      </c>
      <c r="D156" s="4"/>
      <c r="E156" s="4">
        <v>44659</v>
      </c>
      <c r="F156" s="40"/>
      <c r="G156" s="5"/>
      <c r="H156" s="5">
        <v>13.72</v>
      </c>
      <c r="I156" s="5">
        <f>55/30*24</f>
        <v>44</v>
      </c>
      <c r="J156" s="5">
        <v>80</v>
      </c>
      <c r="K156" s="5"/>
      <c r="L156" s="6">
        <v>120</v>
      </c>
      <c r="M156" s="61">
        <v>55</v>
      </c>
      <c r="N156" s="6">
        <f>10+(110-M156)*0.7</f>
        <v>48.5</v>
      </c>
    </row>
    <row r="157" spans="1:14" hidden="1">
      <c r="A157" s="44" t="s">
        <v>171</v>
      </c>
      <c r="B157" s="44"/>
      <c r="C157" s="4">
        <v>44648</v>
      </c>
      <c r="D157" s="4"/>
      <c r="E157" s="4">
        <v>44734</v>
      </c>
      <c r="F157" s="40"/>
      <c r="G157" s="5"/>
      <c r="H157" s="5">
        <v>13.72</v>
      </c>
      <c r="I157" s="5">
        <f>56/30*84</f>
        <v>156.80000000000001</v>
      </c>
      <c r="J157" s="5">
        <v>95</v>
      </c>
      <c r="K157" s="5"/>
      <c r="L157" s="6">
        <v>140</v>
      </c>
      <c r="M157" s="61">
        <v>56</v>
      </c>
      <c r="N157" s="6">
        <f>(140-56)*0.7</f>
        <v>58.8</v>
      </c>
    </row>
    <row r="158" spans="1:14" hidden="1">
      <c r="A158" s="44" t="s">
        <v>172</v>
      </c>
      <c r="B158" s="44"/>
      <c r="C158" s="4">
        <v>44705</v>
      </c>
      <c r="D158" s="4"/>
      <c r="E158" s="4">
        <v>44715</v>
      </c>
      <c r="F158" s="40"/>
      <c r="G158" s="5"/>
      <c r="H158" s="5">
        <v>10.039999999999999</v>
      </c>
      <c r="I158" s="5">
        <f>25/30*9</f>
        <v>7.5</v>
      </c>
      <c r="J158" s="5"/>
      <c r="K158" s="5"/>
      <c r="L158" s="6">
        <v>50</v>
      </c>
      <c r="M158" s="61">
        <v>25</v>
      </c>
      <c r="N158" s="6">
        <f>(50-25)*0.7</f>
        <v>17.5</v>
      </c>
    </row>
    <row r="159" spans="1:14" hidden="1">
      <c r="A159" s="44" t="s">
        <v>173</v>
      </c>
      <c r="B159" s="44"/>
      <c r="C159" s="4">
        <v>44704</v>
      </c>
      <c r="D159" s="4"/>
      <c r="E159" s="4">
        <v>44721</v>
      </c>
      <c r="F159" s="10" t="s">
        <v>161</v>
      </c>
      <c r="G159" s="56">
        <v>12.5</v>
      </c>
      <c r="H159" s="5">
        <v>13.72</v>
      </c>
      <c r="I159" s="5">
        <f>37/30*16</f>
        <v>19.733333333333334</v>
      </c>
      <c r="J159" s="5">
        <f>50+45</f>
        <v>95</v>
      </c>
      <c r="K159" s="5"/>
      <c r="L159" s="6">
        <v>110</v>
      </c>
      <c r="M159" s="61">
        <v>37</v>
      </c>
      <c r="N159" s="56">
        <f>12.5+(97.5-37)*0.7</f>
        <v>54.849999999999994</v>
      </c>
    </row>
    <row r="160" spans="1:14" hidden="1">
      <c r="A160" s="44" t="s">
        <v>174</v>
      </c>
      <c r="B160" s="44"/>
      <c r="C160" s="4">
        <v>44715</v>
      </c>
      <c r="D160" s="4"/>
      <c r="E160" s="4">
        <v>44820</v>
      </c>
      <c r="F160" s="10" t="s">
        <v>161</v>
      </c>
      <c r="G160" s="56">
        <v>15</v>
      </c>
      <c r="H160" s="5">
        <v>14.6</v>
      </c>
      <c r="I160" s="5">
        <f>56/30*103</f>
        <v>192.26666666666668</v>
      </c>
      <c r="J160" s="5">
        <v>50</v>
      </c>
      <c r="K160" s="5"/>
      <c r="L160" s="6">
        <f>130</f>
        <v>130</v>
      </c>
      <c r="M160" s="61">
        <v>56</v>
      </c>
      <c r="N160" s="56">
        <f>15+(115-56)*0.7</f>
        <v>56.3</v>
      </c>
    </row>
    <row r="161" spans="1:15" hidden="1">
      <c r="A161" s="44" t="s">
        <v>183</v>
      </c>
      <c r="B161" s="44"/>
      <c r="C161" s="4">
        <v>44749</v>
      </c>
      <c r="D161" s="4">
        <v>44830</v>
      </c>
      <c r="E161" s="4">
        <v>44858</v>
      </c>
      <c r="F161" s="40"/>
      <c r="G161" s="5"/>
      <c r="H161" s="5">
        <v>11.03</v>
      </c>
      <c r="I161" s="5">
        <v>25</v>
      </c>
      <c r="J161" s="5">
        <v>15</v>
      </c>
      <c r="K161" s="5"/>
      <c r="L161" s="6">
        <v>80</v>
      </c>
      <c r="M161" s="61">
        <v>25</v>
      </c>
      <c r="N161" s="6">
        <f>55*0.7</f>
        <v>38.5</v>
      </c>
    </row>
    <row r="162" spans="1:15" hidden="1">
      <c r="A162" s="44" t="s">
        <v>184</v>
      </c>
      <c r="B162" s="44"/>
      <c r="C162" s="4">
        <v>44775</v>
      </c>
      <c r="D162" s="4">
        <v>44810</v>
      </c>
      <c r="E162" s="4">
        <v>44848</v>
      </c>
      <c r="F162" s="40"/>
      <c r="G162" s="5"/>
      <c r="H162" s="5">
        <v>23.38</v>
      </c>
      <c r="I162" s="5">
        <f>100/30*38</f>
        <v>126.66666666666667</v>
      </c>
      <c r="J162" s="5">
        <v>155</v>
      </c>
      <c r="K162" s="5"/>
      <c r="L162" s="6">
        <v>220</v>
      </c>
      <c r="M162" s="61">
        <v>100</v>
      </c>
      <c r="N162" s="6"/>
    </row>
    <row r="163" spans="1:15" hidden="1">
      <c r="A163" s="44" t="s">
        <v>185</v>
      </c>
      <c r="B163" s="44"/>
      <c r="C163" s="4">
        <v>44830</v>
      </c>
      <c r="D163" s="4">
        <v>44852</v>
      </c>
      <c r="E163" s="4">
        <v>44858</v>
      </c>
      <c r="F163" s="10" t="s">
        <v>161</v>
      </c>
      <c r="G163" s="12">
        <v>12.5</v>
      </c>
      <c r="H163" s="5">
        <v>23.38</v>
      </c>
      <c r="I163" s="5">
        <f>54.5/30*6</f>
        <v>10.9</v>
      </c>
      <c r="J163" s="5">
        <v>95</v>
      </c>
      <c r="K163" s="5"/>
      <c r="L163" s="6">
        <v>140</v>
      </c>
      <c r="M163" s="61">
        <v>55.5</v>
      </c>
      <c r="N163" s="6">
        <f>12.5+(127.5-55.5)*0.7</f>
        <v>62.9</v>
      </c>
    </row>
    <row r="164" spans="1:15" hidden="1">
      <c r="A164" s="44" t="s">
        <v>190</v>
      </c>
      <c r="B164" s="44"/>
      <c r="C164" s="4"/>
      <c r="D164" s="4">
        <v>44879</v>
      </c>
      <c r="E164" s="35">
        <v>44887</v>
      </c>
      <c r="F164" s="44" t="s">
        <v>161</v>
      </c>
      <c r="G164" s="56">
        <v>10</v>
      </c>
      <c r="H164" s="5">
        <v>14.6</v>
      </c>
      <c r="I164" s="5">
        <f>34/30*8</f>
        <v>9.0666666666666664</v>
      </c>
      <c r="J164" s="5">
        <v>45</v>
      </c>
      <c r="K164" s="5"/>
      <c r="L164" s="6">
        <v>90</v>
      </c>
      <c r="M164" s="61">
        <v>34</v>
      </c>
      <c r="N164" s="56">
        <f>10+(80-34)*0.7</f>
        <v>42.199999999999996</v>
      </c>
    </row>
    <row r="165" spans="1:15" hidden="1">
      <c r="A165" s="44" t="s">
        <v>193</v>
      </c>
      <c r="B165" s="44"/>
      <c r="C165" s="4">
        <v>44872</v>
      </c>
      <c r="D165" s="4">
        <v>44879</v>
      </c>
      <c r="E165" s="35">
        <v>44882</v>
      </c>
      <c r="F165" s="40"/>
      <c r="G165" s="5"/>
      <c r="H165" s="5">
        <v>10.039999999999999</v>
      </c>
      <c r="I165" s="5">
        <f>25/30*3</f>
        <v>2.5</v>
      </c>
      <c r="J165" s="5"/>
      <c r="K165" s="5"/>
      <c r="L165" s="6">
        <v>40</v>
      </c>
      <c r="M165" s="61">
        <v>25</v>
      </c>
      <c r="N165" s="6">
        <f>(L165-M165)*0.7</f>
        <v>10.5</v>
      </c>
    </row>
    <row r="166" spans="1:15" hidden="1">
      <c r="A166" s="44" t="s">
        <v>213</v>
      </c>
      <c r="B166" s="44"/>
      <c r="C166" s="4">
        <v>44894</v>
      </c>
      <c r="D166" s="4">
        <v>44908</v>
      </c>
      <c r="E166" s="35">
        <v>44944</v>
      </c>
      <c r="F166" s="40" t="s">
        <v>161</v>
      </c>
      <c r="G166" s="5">
        <v>15</v>
      </c>
      <c r="H166" s="5">
        <v>31.72</v>
      </c>
      <c r="I166" s="5">
        <f>50/30*35</f>
        <v>58.333333333333336</v>
      </c>
      <c r="J166" s="5">
        <f>60+50</f>
        <v>110</v>
      </c>
      <c r="K166" s="5"/>
      <c r="L166" s="6">
        <v>130</v>
      </c>
      <c r="M166" s="61">
        <f>19+2+3.5*2+11*2</f>
        <v>50</v>
      </c>
      <c r="N166" s="12">
        <f>15/30*12+(115-M166)*0.7</f>
        <v>51.5</v>
      </c>
      <c r="O166" t="s">
        <v>145</v>
      </c>
    </row>
    <row r="167" spans="1:15" hidden="1">
      <c r="A167" s="10" t="s">
        <v>227</v>
      </c>
      <c r="B167" s="44"/>
      <c r="C167" s="4">
        <v>44949</v>
      </c>
      <c r="D167" s="4">
        <v>44953</v>
      </c>
      <c r="E167" s="35">
        <v>44966</v>
      </c>
      <c r="F167" s="40" t="s">
        <v>160</v>
      </c>
      <c r="G167" s="5">
        <v>15</v>
      </c>
      <c r="H167" s="5">
        <v>16.38</v>
      </c>
      <c r="I167" s="5">
        <f>61.5/30*12</f>
        <v>24.599999999999998</v>
      </c>
      <c r="J167" s="5">
        <f>50+60</f>
        <v>110</v>
      </c>
      <c r="K167" s="5"/>
      <c r="L167" s="6">
        <v>160</v>
      </c>
      <c r="M167" s="65">
        <f>31+7+18</f>
        <v>56</v>
      </c>
      <c r="N167" s="59">
        <f>15+(L167-M167-15)*0.7/30*21</f>
        <v>58.61</v>
      </c>
    </row>
    <row r="168" spans="1:15" hidden="1">
      <c r="A168" s="10" t="s">
        <v>228</v>
      </c>
      <c r="B168" s="44"/>
      <c r="C168" s="4">
        <v>44957</v>
      </c>
      <c r="D168" s="4">
        <v>44957</v>
      </c>
      <c r="E168" s="35">
        <v>44977</v>
      </c>
      <c r="F168" s="40"/>
      <c r="G168" s="5"/>
      <c r="H168" s="5">
        <v>20.61</v>
      </c>
      <c r="I168" s="5">
        <f>66/30*20</f>
        <v>44</v>
      </c>
      <c r="J168" s="5">
        <v>90</v>
      </c>
      <c r="K168" s="5"/>
      <c r="L168" s="6">
        <v>155</v>
      </c>
      <c r="M168" s="65">
        <v>54</v>
      </c>
      <c r="N168" s="59">
        <f>(L168-M168)*0.7/30*10</f>
        <v>23.566666666666663</v>
      </c>
    </row>
    <row r="169" spans="1:15" hidden="1">
      <c r="C169" s="36"/>
      <c r="D169" s="36"/>
      <c r="F169" s="28"/>
      <c r="G169" s="28"/>
      <c r="H169" s="30"/>
      <c r="I169" s="28"/>
      <c r="M169" s="68" t="s">
        <v>4</v>
      </c>
      <c r="N169" s="18">
        <f>SUM(N2:N168)</f>
        <v>6042.3760000000066</v>
      </c>
    </row>
    <row r="170" spans="1:15" hidden="1">
      <c r="C170" s="36"/>
      <c r="D170" s="36"/>
      <c r="F170" s="28"/>
      <c r="G170" s="28"/>
      <c r="H170" s="30"/>
      <c r="I170" s="28"/>
      <c r="M170" s="66" t="s">
        <v>251</v>
      </c>
      <c r="N170">
        <v>4806.8999999999996</v>
      </c>
    </row>
    <row r="171" spans="1:15" hidden="1">
      <c r="C171" s="36"/>
      <c r="D171" s="36"/>
      <c r="F171" s="28"/>
      <c r="G171" s="28"/>
      <c r="H171" s="30"/>
      <c r="I171" s="28"/>
    </row>
    <row r="172" spans="1:15" hidden="1"/>
    <row r="173" spans="1:15">
      <c r="A173" s="28"/>
      <c r="B173" s="28"/>
      <c r="E173" s="15"/>
      <c r="F173" s="1"/>
      <c r="G173" s="1"/>
      <c r="H173" s="1"/>
      <c r="I173" s="1"/>
      <c r="J173" s="1"/>
      <c r="K173" s="1"/>
      <c r="L173" s="1"/>
      <c r="M173" s="67"/>
      <c r="N173" s="29"/>
    </row>
    <row r="175" spans="1:15">
      <c r="H175" s="30"/>
    </row>
    <row r="176" spans="1:15">
      <c r="I176" s="42"/>
    </row>
    <row r="177" spans="12:14">
      <c r="L177" t="s">
        <v>250</v>
      </c>
    </row>
    <row r="178" spans="12:14">
      <c r="L178" t="s">
        <v>246</v>
      </c>
      <c r="N178">
        <v>12.54</v>
      </c>
    </row>
    <row r="179" spans="12:14">
      <c r="L179" t="s">
        <v>244</v>
      </c>
      <c r="N179">
        <v>21</v>
      </c>
    </row>
    <row r="180" spans="12:14">
      <c r="L180" t="s">
        <v>245</v>
      </c>
      <c r="N180">
        <v>63</v>
      </c>
    </row>
    <row r="181" spans="12:14">
      <c r="L181" t="s">
        <v>229</v>
      </c>
      <c r="N181">
        <v>21</v>
      </c>
    </row>
    <row r="183" spans="12:14">
      <c r="N183" s="69"/>
    </row>
  </sheetData>
  <autoFilter ref="A1:P172">
    <filterColumn colId="1">
      <customFilters>
        <customFilter operator="notEqual" val=" "/>
      </customFilters>
    </filterColumn>
    <sortState ref="A2:P62">
      <sortCondition ref="A1:A172"/>
    </sortState>
  </autoFilter>
  <pageMargins left="0.7" right="0.7" top="0.75" bottom="0.75" header="0.3" footer="0.3"/>
  <pageSetup paperSize="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>
  <dimension ref="A1:P210"/>
  <sheetViews>
    <sheetView topLeftCell="C172" workbookViewId="0">
      <selection activeCell="O196" sqref="O196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3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10" t="s">
        <v>64</v>
      </c>
      <c r="B2" s="10" t="s">
        <v>200</v>
      </c>
      <c r="C2" s="35"/>
      <c r="D2" s="35"/>
      <c r="E2" s="4">
        <v>44994</v>
      </c>
      <c r="F2" s="40"/>
      <c r="G2" s="40"/>
      <c r="H2" s="5"/>
      <c r="I2" s="40"/>
      <c r="J2" s="40">
        <f>6*2.9</f>
        <v>17.399999999999999</v>
      </c>
      <c r="K2" s="40"/>
      <c r="L2" s="6">
        <f>133.4</f>
        <v>133.4</v>
      </c>
      <c r="M2" s="6">
        <f>19.5*2+13.1+6.3+3.5</f>
        <v>61.9</v>
      </c>
      <c r="N2" s="59">
        <f>(L2-M2)*0.8/30*21</f>
        <v>40.04</v>
      </c>
    </row>
    <row r="3" spans="1:15">
      <c r="A3" s="44" t="s">
        <v>149</v>
      </c>
      <c r="B3" s="44" t="s">
        <v>200</v>
      </c>
      <c r="C3" s="4"/>
      <c r="D3" s="4"/>
      <c r="E3" s="35">
        <v>44980</v>
      </c>
      <c r="F3" s="40"/>
      <c r="G3" s="5"/>
      <c r="H3" s="5"/>
      <c r="I3" s="5"/>
      <c r="J3" s="5">
        <f>2.9*9</f>
        <v>26.099999999999998</v>
      </c>
      <c r="K3" s="5"/>
      <c r="L3" s="6">
        <v>169.1</v>
      </c>
      <c r="M3" s="65">
        <f>80.65</f>
        <v>80.650000000000006</v>
      </c>
      <c r="N3" s="59">
        <f t="shared" ref="N3:N13" si="0">(L3-M3)*0.8</f>
        <v>70.759999999999991</v>
      </c>
    </row>
    <row r="4" spans="1:15">
      <c r="A4" s="44" t="s">
        <v>190</v>
      </c>
      <c r="B4" s="44" t="s">
        <v>200</v>
      </c>
      <c r="C4" s="4"/>
      <c r="D4" s="4"/>
      <c r="E4" s="35">
        <v>44972</v>
      </c>
      <c r="F4" s="40"/>
      <c r="G4" s="5"/>
      <c r="H4" s="5"/>
      <c r="I4" s="5"/>
      <c r="J4" s="5">
        <f>2.9</f>
        <v>2.9</v>
      </c>
      <c r="K4" s="5"/>
      <c r="L4" s="6">
        <f>18.8</f>
        <v>18.8</v>
      </c>
      <c r="M4" s="65">
        <f>10.2</f>
        <v>10.199999999999999</v>
      </c>
      <c r="N4" s="59">
        <f t="shared" si="0"/>
        <v>6.8800000000000017</v>
      </c>
    </row>
    <row r="5" spans="1:15">
      <c r="A5" s="44" t="s">
        <v>239</v>
      </c>
      <c r="B5" s="44" t="s">
        <v>200</v>
      </c>
      <c r="C5" s="35"/>
      <c r="D5" s="35"/>
      <c r="E5" s="4">
        <v>44973</v>
      </c>
      <c r="F5" s="40"/>
      <c r="G5" s="40"/>
      <c r="H5" s="5"/>
      <c r="I5" s="40"/>
      <c r="J5" s="40">
        <f>48*2.9</f>
        <v>139.19999999999999</v>
      </c>
      <c r="K5" s="40"/>
      <c r="L5" s="6">
        <v>538.79999999999995</v>
      </c>
      <c r="M5" s="61">
        <f>2*7.9+43*4.5+2*13.1</f>
        <v>235.5</v>
      </c>
      <c r="N5" s="59">
        <f t="shared" si="0"/>
        <v>242.64</v>
      </c>
    </row>
    <row r="6" spans="1:15">
      <c r="A6" s="44" t="s">
        <v>235</v>
      </c>
      <c r="B6" s="44" t="s">
        <v>200</v>
      </c>
      <c r="C6" s="35"/>
      <c r="D6" s="35"/>
      <c r="E6" s="4">
        <v>44967</v>
      </c>
      <c r="F6" s="40"/>
      <c r="G6" s="40"/>
      <c r="H6" s="5"/>
      <c r="I6" s="40"/>
      <c r="J6" s="40">
        <v>255.2</v>
      </c>
      <c r="K6" s="40"/>
      <c r="L6" s="6">
        <v>352</v>
      </c>
      <c r="M6" s="61">
        <f>0.55*88</f>
        <v>48.400000000000006</v>
      </c>
      <c r="N6" s="59">
        <f t="shared" si="0"/>
        <v>242.88000000000002</v>
      </c>
    </row>
    <row r="7" spans="1:15">
      <c r="A7" s="44" t="s">
        <v>44</v>
      </c>
      <c r="B7" s="44" t="s">
        <v>200</v>
      </c>
      <c r="C7" s="35"/>
      <c r="D7" s="35"/>
      <c r="E7" s="4">
        <v>44985</v>
      </c>
      <c r="F7" s="40"/>
      <c r="G7" s="40"/>
      <c r="H7" s="5"/>
      <c r="I7" s="40"/>
      <c r="J7" s="40">
        <f>2.9*3</f>
        <v>8.6999999999999993</v>
      </c>
      <c r="K7" s="40"/>
      <c r="L7" s="6">
        <f>18.9*2+20.9</f>
        <v>58.699999999999996</v>
      </c>
      <c r="M7" s="61">
        <f>7.9*2+9.2</f>
        <v>25</v>
      </c>
      <c r="N7" s="59">
        <f t="shared" si="0"/>
        <v>26.959999999999997</v>
      </c>
    </row>
    <row r="8" spans="1:15">
      <c r="A8" s="44" t="s">
        <v>210</v>
      </c>
      <c r="B8" s="44" t="s">
        <v>200</v>
      </c>
      <c r="C8" s="4"/>
      <c r="D8" s="4">
        <v>44942</v>
      </c>
      <c r="E8" s="35">
        <v>44942</v>
      </c>
      <c r="F8" s="40"/>
      <c r="G8" s="5"/>
      <c r="H8" s="5"/>
      <c r="I8" s="5"/>
      <c r="J8" s="5">
        <f>2.9</f>
        <v>2.9</v>
      </c>
      <c r="K8" s="5"/>
      <c r="L8" s="6">
        <v>89.8</v>
      </c>
      <c r="M8" s="61">
        <f>71.5+3.9</f>
        <v>75.400000000000006</v>
      </c>
      <c r="N8" s="6">
        <f t="shared" si="0"/>
        <v>11.519999999999994</v>
      </c>
    </row>
    <row r="9" spans="1:15">
      <c r="A9" s="44" t="s">
        <v>224</v>
      </c>
      <c r="B9" s="44" t="s">
        <v>200</v>
      </c>
      <c r="C9" s="4"/>
      <c r="D9" s="4"/>
      <c r="E9" s="35">
        <v>44953</v>
      </c>
      <c r="F9" s="40"/>
      <c r="G9" s="5"/>
      <c r="H9" s="5"/>
      <c r="I9" s="5"/>
      <c r="J9" s="5">
        <f>2.9*3</f>
        <v>8.6999999999999993</v>
      </c>
      <c r="K9" s="5"/>
      <c r="L9" s="6">
        <f>16.9*3</f>
        <v>50.699999999999996</v>
      </c>
      <c r="M9" s="65">
        <f>7.1*3</f>
        <v>21.299999999999997</v>
      </c>
      <c r="N9" s="59">
        <f t="shared" si="0"/>
        <v>23.52</v>
      </c>
    </row>
    <row r="10" spans="1:15">
      <c r="A10" s="44" t="s">
        <v>224</v>
      </c>
      <c r="B10" s="44" t="s">
        <v>200</v>
      </c>
      <c r="C10" s="4"/>
      <c r="D10" s="4"/>
      <c r="E10" s="35">
        <v>44970</v>
      </c>
      <c r="F10" s="40"/>
      <c r="G10" s="5"/>
      <c r="H10" s="5"/>
      <c r="I10" s="5"/>
      <c r="J10" s="5">
        <f>2.9*46</f>
        <v>133.4</v>
      </c>
      <c r="K10" s="5"/>
      <c r="L10" s="6">
        <f>765.1-50.7</f>
        <v>714.4</v>
      </c>
      <c r="M10" s="65">
        <f>8*6.3+21*4.5+2*9.2+2*13.1+13*7.1</f>
        <v>281.8</v>
      </c>
      <c r="N10" s="59">
        <f t="shared" si="0"/>
        <v>346.08</v>
      </c>
    </row>
    <row r="11" spans="1:15">
      <c r="A11" s="44" t="s">
        <v>191</v>
      </c>
      <c r="B11" s="44" t="s">
        <v>200</v>
      </c>
      <c r="C11" s="4"/>
      <c r="D11" s="4"/>
      <c r="E11" s="35" t="s">
        <v>192</v>
      </c>
      <c r="F11" s="40"/>
      <c r="G11" s="5"/>
      <c r="H11" s="12">
        <f>5*2.9+3.5</f>
        <v>18</v>
      </c>
      <c r="I11" s="5"/>
      <c r="J11" s="5"/>
      <c r="K11" s="5"/>
      <c r="L11" s="6">
        <v>84.5</v>
      </c>
      <c r="M11" s="61">
        <f>7.1*5</f>
        <v>35.5</v>
      </c>
      <c r="N11" s="6">
        <f t="shared" si="0"/>
        <v>39.200000000000003</v>
      </c>
    </row>
    <row r="12" spans="1:15">
      <c r="A12" s="44" t="s">
        <v>191</v>
      </c>
      <c r="B12" s="44" t="s">
        <v>200</v>
      </c>
      <c r="C12" s="4"/>
      <c r="D12" s="4"/>
      <c r="E12" s="35">
        <v>44918</v>
      </c>
      <c r="F12" s="40"/>
      <c r="G12" s="5"/>
      <c r="H12" s="12">
        <f>1.5+2.9*17</f>
        <v>50.8</v>
      </c>
      <c r="I12" s="5"/>
      <c r="J12" s="5"/>
      <c r="K12" s="5"/>
      <c r="L12" s="6">
        <v>287.3</v>
      </c>
      <c r="M12" s="61">
        <v>120.7</v>
      </c>
      <c r="N12" s="6">
        <f t="shared" si="0"/>
        <v>133.28000000000003</v>
      </c>
    </row>
    <row r="13" spans="1:15">
      <c r="A13" s="44" t="s">
        <v>191</v>
      </c>
      <c r="B13" s="44" t="s">
        <v>200</v>
      </c>
      <c r="C13" s="4"/>
      <c r="D13" s="4">
        <v>44936</v>
      </c>
      <c r="E13" s="35">
        <v>44936</v>
      </c>
      <c r="F13" s="40"/>
      <c r="G13" s="5"/>
      <c r="H13" s="5"/>
      <c r="I13" s="5"/>
      <c r="J13" s="5">
        <f>2.9*2</f>
        <v>5.8</v>
      </c>
      <c r="K13" s="5"/>
      <c r="L13" s="6">
        <f>16.9*2</f>
        <v>33.799999999999997</v>
      </c>
      <c r="M13" s="61">
        <f>7.1*2</f>
        <v>14.2</v>
      </c>
      <c r="N13" s="6">
        <f t="shared" si="0"/>
        <v>15.68</v>
      </c>
    </row>
    <row r="14" spans="1:15">
      <c r="A14" s="10" t="s">
        <v>191</v>
      </c>
      <c r="B14" s="10" t="s">
        <v>200</v>
      </c>
      <c r="C14" s="35"/>
      <c r="D14" s="35"/>
      <c r="E14" s="4">
        <v>44995</v>
      </c>
      <c r="F14" s="40"/>
      <c r="G14" s="40"/>
      <c r="H14" s="5"/>
      <c r="I14" s="40"/>
      <c r="J14" s="40">
        <v>2.9</v>
      </c>
      <c r="K14" s="40"/>
      <c r="L14" s="6">
        <v>16.899999999999999</v>
      </c>
      <c r="M14" s="61">
        <v>7.1</v>
      </c>
      <c r="N14" s="59">
        <f>(L14-M14)*0.8/30*20</f>
        <v>5.2266666666666666</v>
      </c>
    </row>
    <row r="15" spans="1:15">
      <c r="A15" s="44" t="s">
        <v>225</v>
      </c>
      <c r="B15" s="44" t="s">
        <v>200</v>
      </c>
      <c r="C15" s="4"/>
      <c r="D15" s="4"/>
      <c r="E15" s="35">
        <v>44977</v>
      </c>
      <c r="F15" s="40"/>
      <c r="G15" s="5"/>
      <c r="H15" s="5"/>
      <c r="I15" s="5"/>
      <c r="J15" s="5">
        <v>2.9</v>
      </c>
      <c r="K15" s="5"/>
      <c r="L15" s="6">
        <v>22.5</v>
      </c>
      <c r="M15" s="65">
        <v>13.1</v>
      </c>
      <c r="N15" s="59">
        <f>(L15-M15)*0.8</f>
        <v>7.5200000000000005</v>
      </c>
    </row>
    <row r="16" spans="1:15">
      <c r="A16" s="10" t="s">
        <v>45</v>
      </c>
      <c r="B16" s="10" t="s">
        <v>200</v>
      </c>
      <c r="C16" s="35"/>
      <c r="D16" s="35"/>
      <c r="E16" s="4">
        <v>44999</v>
      </c>
      <c r="F16" s="40"/>
      <c r="G16" s="40"/>
      <c r="H16" s="5"/>
      <c r="I16" s="40"/>
      <c r="J16" s="40">
        <f>11*2.9</f>
        <v>31.9</v>
      </c>
      <c r="K16" s="40"/>
      <c r="L16" s="6">
        <v>110.5</v>
      </c>
      <c r="M16" s="6">
        <f>6*3.5+5*6.85</f>
        <v>55.25</v>
      </c>
      <c r="N16" s="59">
        <f>(L16-M16)*0.7/30*16</f>
        <v>20.626666666666665</v>
      </c>
    </row>
    <row r="17" spans="1:14">
      <c r="A17" s="44" t="s">
        <v>240</v>
      </c>
      <c r="B17" s="44" t="s">
        <v>200</v>
      </c>
      <c r="C17" s="35"/>
      <c r="D17" s="35"/>
      <c r="E17" s="4">
        <v>44970</v>
      </c>
      <c r="F17" s="40"/>
      <c r="G17" s="40"/>
      <c r="H17" s="5"/>
      <c r="I17" s="40"/>
      <c r="J17" s="40">
        <f>15*2.9</f>
        <v>43.5</v>
      </c>
      <c r="K17" s="40"/>
      <c r="L17" s="6">
        <f>10*10+3*11.5+2*10</f>
        <v>154.5</v>
      </c>
      <c r="M17" s="61">
        <f>4.5*10+7.1*5+4.5*2</f>
        <v>89.5</v>
      </c>
      <c r="N17" s="59">
        <f>(L17-M17)*0.8</f>
        <v>52</v>
      </c>
    </row>
    <row r="18" spans="1:14">
      <c r="A18" s="10" t="s">
        <v>240</v>
      </c>
      <c r="B18" s="10" t="s">
        <v>200</v>
      </c>
      <c r="C18" s="35"/>
      <c r="D18" s="35"/>
      <c r="E18" s="4">
        <v>45013</v>
      </c>
      <c r="F18" s="40"/>
      <c r="G18" s="40"/>
      <c r="H18" s="5"/>
      <c r="I18" s="40"/>
      <c r="J18" s="40">
        <v>2.9</v>
      </c>
      <c r="K18" s="40"/>
      <c r="L18" s="6">
        <f>25.9+4.9</f>
        <v>30.799999999999997</v>
      </c>
      <c r="M18" s="6">
        <f>16+3.9</f>
        <v>19.899999999999999</v>
      </c>
      <c r="N18" s="59">
        <f>(L18-M18)*0.7/30*2</f>
        <v>0.50866666666666649</v>
      </c>
    </row>
    <row r="19" spans="1:14">
      <c r="A19" s="44" t="s">
        <v>241</v>
      </c>
      <c r="B19" s="44" t="s">
        <v>200</v>
      </c>
      <c r="C19" s="35"/>
      <c r="D19" s="35"/>
      <c r="E19" s="4">
        <v>44970</v>
      </c>
      <c r="F19" s="40"/>
      <c r="G19" s="40"/>
      <c r="H19" s="5"/>
      <c r="I19" s="40"/>
      <c r="J19" s="40">
        <f>6*2.9</f>
        <v>17.399999999999999</v>
      </c>
      <c r="K19" s="40"/>
      <c r="L19" s="6">
        <f>10+11.5*4+16.5</f>
        <v>72.5</v>
      </c>
      <c r="M19" s="61">
        <f>4.5+7.1*4+9.2</f>
        <v>42.099999999999994</v>
      </c>
      <c r="N19" s="59">
        <f>(L19-M19)*0.8</f>
        <v>24.320000000000007</v>
      </c>
    </row>
    <row r="20" spans="1:14">
      <c r="A20" s="52" t="s">
        <v>207</v>
      </c>
      <c r="B20" s="52" t="s">
        <v>200</v>
      </c>
      <c r="C20" s="4"/>
      <c r="D20" s="4">
        <v>44937</v>
      </c>
      <c r="E20" s="35">
        <v>44937</v>
      </c>
      <c r="F20" s="40"/>
      <c r="G20" s="5"/>
      <c r="H20" s="5"/>
      <c r="I20" s="5"/>
      <c r="J20" s="5">
        <f>2.9*2</f>
        <v>5.8</v>
      </c>
      <c r="K20" s="5"/>
      <c r="L20" s="6">
        <f>29.8</f>
        <v>29.8</v>
      </c>
      <c r="M20" s="61">
        <f>6.85*2</f>
        <v>13.7</v>
      </c>
      <c r="N20" s="6">
        <f>(L20-M20)*0.8</f>
        <v>12.880000000000003</v>
      </c>
    </row>
    <row r="21" spans="1:14">
      <c r="A21" s="44" t="s">
        <v>243</v>
      </c>
      <c r="B21" s="44" t="s">
        <v>200</v>
      </c>
      <c r="C21" s="35"/>
      <c r="D21" s="35"/>
      <c r="E21" s="4">
        <v>44970</v>
      </c>
      <c r="F21" s="40"/>
      <c r="G21" s="40"/>
      <c r="H21" s="5"/>
      <c r="I21" s="40"/>
      <c r="J21" s="40">
        <f>17*2.9</f>
        <v>49.3</v>
      </c>
      <c r="K21" s="40"/>
      <c r="L21" s="6">
        <f>130+46</f>
        <v>176</v>
      </c>
      <c r="M21" s="61">
        <f>13*4.5+7.1*4</f>
        <v>86.9</v>
      </c>
      <c r="N21" s="59">
        <f>(L21-M21)*0.8</f>
        <v>71.28</v>
      </c>
    </row>
    <row r="22" spans="1:14">
      <c r="A22" s="10" t="s">
        <v>243</v>
      </c>
      <c r="B22" s="10" t="s">
        <v>200</v>
      </c>
      <c r="C22" s="35"/>
      <c r="D22" s="35"/>
      <c r="E22" s="4">
        <v>44988</v>
      </c>
      <c r="F22" s="40"/>
      <c r="G22" s="40"/>
      <c r="H22" s="5"/>
      <c r="I22" s="40"/>
      <c r="J22" s="40">
        <v>2.9</v>
      </c>
      <c r="K22" s="40"/>
      <c r="L22" s="6">
        <v>47.8</v>
      </c>
      <c r="M22" s="6">
        <v>34.6</v>
      </c>
      <c r="N22" s="59">
        <f>(L22-M22)*0.8/30*27</f>
        <v>9.5039999999999978</v>
      </c>
    </row>
    <row r="23" spans="1:14">
      <c r="A23" s="44" t="s">
        <v>211</v>
      </c>
      <c r="B23" s="44" t="s">
        <v>200</v>
      </c>
      <c r="C23" s="4"/>
      <c r="D23" s="4">
        <v>44942</v>
      </c>
      <c r="E23" s="35">
        <v>44942</v>
      </c>
      <c r="F23" s="40"/>
      <c r="G23" s="5"/>
      <c r="H23" s="5"/>
      <c r="I23" s="5"/>
      <c r="J23" s="5">
        <f>2.9+0.75</f>
        <v>3.65</v>
      </c>
      <c r="K23" s="5"/>
      <c r="L23" s="6">
        <v>14.8</v>
      </c>
      <c r="M23" s="61">
        <f>3.5+3.9</f>
        <v>7.4</v>
      </c>
      <c r="N23" s="6">
        <f>(L23-M23)*0.8</f>
        <v>5.9200000000000008</v>
      </c>
    </row>
    <row r="24" spans="1:14">
      <c r="A24" s="44" t="s">
        <v>112</v>
      </c>
      <c r="B24" s="44" t="s">
        <v>200</v>
      </c>
      <c r="C24" s="4"/>
      <c r="D24" s="4"/>
      <c r="E24" s="35">
        <v>44974</v>
      </c>
      <c r="F24" s="40"/>
      <c r="G24" s="5"/>
      <c r="H24" s="5"/>
      <c r="I24" s="5"/>
      <c r="J24" s="5">
        <f>2.9</f>
        <v>2.9</v>
      </c>
      <c r="K24" s="5"/>
      <c r="L24" s="6">
        <v>47.8</v>
      </c>
      <c r="M24" s="65">
        <v>34.6</v>
      </c>
      <c r="N24" s="59">
        <f>(L24-M24)*0.8</f>
        <v>10.559999999999997</v>
      </c>
    </row>
    <row r="25" spans="1:14">
      <c r="A25" s="44" t="s">
        <v>204</v>
      </c>
      <c r="B25" s="44" t="s">
        <v>200</v>
      </c>
      <c r="C25" s="4"/>
      <c r="D25" s="4"/>
      <c r="E25" s="35">
        <v>44918</v>
      </c>
      <c r="F25" s="40"/>
      <c r="G25" s="5"/>
      <c r="H25" s="5">
        <f>0.75+2.9</f>
        <v>3.65</v>
      </c>
      <c r="I25" s="5"/>
      <c r="J25" s="5"/>
      <c r="K25" s="5"/>
      <c r="L25" s="6">
        <v>17.899999999999999</v>
      </c>
      <c r="M25" s="61">
        <v>8.9</v>
      </c>
      <c r="N25" s="6">
        <f>(L25-M25)*0.8</f>
        <v>7.1999999999999993</v>
      </c>
    </row>
    <row r="26" spans="1:14">
      <c r="A26" s="10" t="s">
        <v>267</v>
      </c>
      <c r="B26" s="10" t="s">
        <v>200</v>
      </c>
      <c r="C26" s="35"/>
      <c r="D26" s="35"/>
      <c r="E26" s="4">
        <v>44995</v>
      </c>
      <c r="F26" s="40"/>
      <c r="G26" s="40"/>
      <c r="H26" s="5"/>
      <c r="I26" s="40"/>
      <c r="J26" s="40">
        <v>2.9</v>
      </c>
      <c r="K26" s="40"/>
      <c r="L26" s="6">
        <v>13.9</v>
      </c>
      <c r="M26" s="18">
        <v>6.3</v>
      </c>
      <c r="N26" s="70">
        <f>(L26-M26)*0.7/30*27</f>
        <v>4.7880000000000003</v>
      </c>
    </row>
    <row r="27" spans="1:14">
      <c r="A27" s="44" t="s">
        <v>202</v>
      </c>
      <c r="B27" s="44" t="s">
        <v>200</v>
      </c>
      <c r="C27" s="4"/>
      <c r="D27" s="4"/>
      <c r="E27" s="35">
        <v>44896</v>
      </c>
      <c r="F27" s="40"/>
      <c r="G27" s="5"/>
      <c r="H27" s="5">
        <f>0.75+2.9*2</f>
        <v>6.55</v>
      </c>
      <c r="I27" s="5"/>
      <c r="J27" s="5"/>
      <c r="K27" s="5"/>
      <c r="L27" s="6">
        <v>60</v>
      </c>
      <c r="M27" s="62">
        <f>19.5*2</f>
        <v>39</v>
      </c>
      <c r="N27" s="18">
        <f>(L27-M27)*0.8</f>
        <v>16.8</v>
      </c>
    </row>
    <row r="28" spans="1:14">
      <c r="A28" s="10" t="s">
        <v>268</v>
      </c>
      <c r="B28" s="10" t="s">
        <v>200</v>
      </c>
      <c r="C28" s="35"/>
      <c r="D28" s="35"/>
      <c r="E28" s="4">
        <v>45012</v>
      </c>
      <c r="F28" s="40"/>
      <c r="G28" s="40"/>
      <c r="H28" s="5"/>
      <c r="I28" s="40"/>
      <c r="J28" s="40">
        <f>8*2.9</f>
        <v>23.2</v>
      </c>
      <c r="K28" s="40"/>
      <c r="L28" s="6">
        <f>143.2</f>
        <v>143.19999999999999</v>
      </c>
      <c r="M28" s="18">
        <f>9+6.85+5*7.1</f>
        <v>51.35</v>
      </c>
      <c r="N28" s="70">
        <f>(L28-M28)*0.7/30*20</f>
        <v>42.863333333333323</v>
      </c>
    </row>
    <row r="29" spans="1:14">
      <c r="A29" s="44" t="s">
        <v>218</v>
      </c>
      <c r="B29" s="44" t="s">
        <v>200</v>
      </c>
      <c r="C29" s="4"/>
      <c r="D29" s="4"/>
      <c r="E29" s="35">
        <v>44935</v>
      </c>
      <c r="F29" s="40"/>
      <c r="G29" s="5"/>
      <c r="H29" s="5"/>
      <c r="I29" s="5"/>
      <c r="J29" s="5">
        <v>2.9</v>
      </c>
      <c r="K29" s="5"/>
      <c r="L29" s="6">
        <v>29</v>
      </c>
      <c r="M29" s="62">
        <v>13.1</v>
      </c>
      <c r="N29" s="18">
        <f>(L29-M29)*0.8</f>
        <v>12.72</v>
      </c>
    </row>
    <row r="30" spans="1:14">
      <c r="A30" s="44" t="s">
        <v>58</v>
      </c>
      <c r="B30" s="44" t="s">
        <v>200</v>
      </c>
      <c r="C30" s="4"/>
      <c r="D30" s="4">
        <v>44935</v>
      </c>
      <c r="E30" s="35">
        <v>44935</v>
      </c>
      <c r="F30" s="40"/>
      <c r="G30" s="5"/>
      <c r="H30" s="5"/>
      <c r="I30" s="5"/>
      <c r="J30" s="5">
        <f>2.9*2</f>
        <v>5.8</v>
      </c>
      <c r="K30" s="5"/>
      <c r="L30" s="6">
        <f>21.5*2</f>
        <v>43</v>
      </c>
      <c r="M30" s="61">
        <f>7.9*2</f>
        <v>15.8</v>
      </c>
      <c r="N30" s="6">
        <f>(L30-M30)*0.8</f>
        <v>21.76</v>
      </c>
    </row>
    <row r="31" spans="1:14">
      <c r="A31" s="44" t="s">
        <v>212</v>
      </c>
      <c r="B31" s="44" t="s">
        <v>200</v>
      </c>
      <c r="C31" s="4" t="s">
        <v>282</v>
      </c>
      <c r="D31" s="4">
        <v>44942</v>
      </c>
      <c r="E31" s="35">
        <v>44942</v>
      </c>
      <c r="F31" s="40"/>
      <c r="G31" s="5"/>
      <c r="H31" s="5"/>
      <c r="I31" s="5"/>
      <c r="J31" s="5">
        <v>3.9</v>
      </c>
      <c r="K31" s="5"/>
      <c r="L31" s="6">
        <f>47.8</f>
        <v>47.8</v>
      </c>
      <c r="M31" s="61">
        <f>30.7+3.9</f>
        <v>34.6</v>
      </c>
      <c r="N31" s="6">
        <f>(L31-M31)*0.8</f>
        <v>10.559999999999997</v>
      </c>
    </row>
    <row r="32" spans="1:14">
      <c r="A32" s="10" t="s">
        <v>212</v>
      </c>
      <c r="B32" s="10" t="s">
        <v>200</v>
      </c>
      <c r="C32" s="35" t="s">
        <v>282</v>
      </c>
      <c r="D32" s="35"/>
      <c r="E32" s="4">
        <v>45000</v>
      </c>
      <c r="F32" s="40"/>
      <c r="G32" s="40"/>
      <c r="H32" s="5"/>
      <c r="I32" s="40"/>
      <c r="J32" s="40">
        <f>6*2.9</f>
        <v>17.399999999999999</v>
      </c>
      <c r="K32" s="40"/>
      <c r="L32" s="6">
        <v>56.5</v>
      </c>
      <c r="M32" s="6">
        <f>5*3.5+7.9</f>
        <v>25.4</v>
      </c>
      <c r="N32" s="59">
        <f>(L32-M32)*0.8/30*15</f>
        <v>12.440000000000001</v>
      </c>
    </row>
    <row r="33" spans="1:14">
      <c r="A33" s="44" t="s">
        <v>186</v>
      </c>
      <c r="B33" s="44" t="s">
        <v>200</v>
      </c>
      <c r="C33" s="4"/>
      <c r="D33" s="4"/>
      <c r="E33" s="4">
        <v>44881</v>
      </c>
      <c r="F33" s="40"/>
      <c r="G33" s="5"/>
      <c r="H33" s="12">
        <f>1.75+2.9*3</f>
        <v>10.45</v>
      </c>
      <c r="I33" s="5"/>
      <c r="J33" s="5"/>
      <c r="K33" s="5"/>
      <c r="L33" s="6">
        <f>50.7</f>
        <v>50.7</v>
      </c>
      <c r="M33" s="61">
        <f>20.5</f>
        <v>20.5</v>
      </c>
      <c r="N33" s="6">
        <f t="shared" ref="N33:N38" si="1">(L33-M33)*0.8</f>
        <v>24.160000000000004</v>
      </c>
    </row>
    <row r="34" spans="1:14">
      <c r="A34" s="44" t="s">
        <v>230</v>
      </c>
      <c r="B34" s="44" t="s">
        <v>200</v>
      </c>
      <c r="C34" s="4"/>
      <c r="D34" s="4"/>
      <c r="E34" s="35">
        <v>44985</v>
      </c>
      <c r="F34" s="40"/>
      <c r="G34" s="5"/>
      <c r="H34" s="5"/>
      <c r="I34" s="5"/>
      <c r="J34" s="5">
        <f>2.9*2</f>
        <v>5.8</v>
      </c>
      <c r="K34" s="5"/>
      <c r="L34" s="6">
        <v>37.799999999999997</v>
      </c>
      <c r="M34" s="65">
        <f>4.5+13.1</f>
        <v>17.600000000000001</v>
      </c>
      <c r="N34" s="59">
        <f t="shared" si="1"/>
        <v>16.159999999999997</v>
      </c>
    </row>
    <row r="35" spans="1:14">
      <c r="A35" s="44" t="s">
        <v>231</v>
      </c>
      <c r="B35" s="44" t="s">
        <v>200</v>
      </c>
      <c r="C35" s="4"/>
      <c r="D35" s="4"/>
      <c r="E35" s="35">
        <v>44978</v>
      </c>
      <c r="F35" s="40"/>
      <c r="G35" s="5"/>
      <c r="H35" s="5"/>
      <c r="I35" s="5"/>
      <c r="J35" s="5">
        <f>2.9</f>
        <v>2.9</v>
      </c>
      <c r="K35" s="5"/>
      <c r="L35" s="6">
        <f>18.5</f>
        <v>18.5</v>
      </c>
      <c r="M35" s="65">
        <v>9.1999999999999993</v>
      </c>
      <c r="N35" s="59">
        <f t="shared" si="1"/>
        <v>7.4400000000000013</v>
      </c>
    </row>
    <row r="36" spans="1:14">
      <c r="A36" s="44" t="s">
        <v>231</v>
      </c>
      <c r="B36" s="44" t="s">
        <v>200</v>
      </c>
      <c r="C36" s="4"/>
      <c r="D36" s="4"/>
      <c r="E36" s="35">
        <v>44964</v>
      </c>
      <c r="F36" s="40"/>
      <c r="G36" s="5"/>
      <c r="H36" s="5"/>
      <c r="I36" s="5"/>
      <c r="J36" s="5">
        <f>2.9*2</f>
        <v>5.8</v>
      </c>
      <c r="K36" s="5"/>
      <c r="L36" s="6">
        <v>30</v>
      </c>
      <c r="M36" s="65">
        <v>13.5</v>
      </c>
      <c r="N36" s="59">
        <f t="shared" si="1"/>
        <v>13.200000000000001</v>
      </c>
    </row>
    <row r="37" spans="1:14">
      <c r="A37" s="44" t="s">
        <v>234</v>
      </c>
      <c r="B37" s="44" t="s">
        <v>200</v>
      </c>
      <c r="C37" s="4"/>
      <c r="D37" s="4"/>
      <c r="E37" s="35">
        <v>44966</v>
      </c>
      <c r="F37" s="40"/>
      <c r="G37" s="5"/>
      <c r="H37" s="5"/>
      <c r="I37" s="5"/>
      <c r="J37" s="5">
        <f>2.9*12</f>
        <v>34.799999999999997</v>
      </c>
      <c r="K37" s="5"/>
      <c r="L37" s="6">
        <v>178.8</v>
      </c>
      <c r="M37" s="65">
        <f>4.5*7+6.85+7.1+13.1*2</f>
        <v>71.650000000000006</v>
      </c>
      <c r="N37" s="59">
        <f t="shared" si="1"/>
        <v>85.720000000000013</v>
      </c>
    </row>
    <row r="38" spans="1:14">
      <c r="A38" s="44" t="s">
        <v>216</v>
      </c>
      <c r="B38" s="44" t="s">
        <v>200</v>
      </c>
      <c r="C38" s="4"/>
      <c r="D38" s="4"/>
      <c r="E38" s="35">
        <v>44949</v>
      </c>
      <c r="F38" s="40"/>
      <c r="G38" s="5"/>
      <c r="H38" s="5">
        <v>1.5</v>
      </c>
      <c r="I38" s="5"/>
      <c r="J38" s="5">
        <f>2.9*6</f>
        <v>17.399999999999999</v>
      </c>
      <c r="K38" s="5"/>
      <c r="L38" s="6">
        <f>100.4</f>
        <v>100.4</v>
      </c>
      <c r="M38" s="61">
        <f>4.5+9.2+7.1*4</f>
        <v>42.099999999999994</v>
      </c>
      <c r="N38" s="6">
        <f t="shared" si="1"/>
        <v>46.640000000000015</v>
      </c>
    </row>
    <row r="39" spans="1:14">
      <c r="A39" s="10" t="s">
        <v>263</v>
      </c>
      <c r="B39" s="10" t="s">
        <v>200</v>
      </c>
      <c r="C39" s="35"/>
      <c r="D39" s="35"/>
      <c r="E39" s="4">
        <v>44991</v>
      </c>
      <c r="F39" s="40"/>
      <c r="G39" s="40"/>
      <c r="H39" s="5"/>
      <c r="I39" s="40"/>
      <c r="J39" s="40">
        <v>2.9</v>
      </c>
      <c r="K39" s="40"/>
      <c r="L39" s="6">
        <v>10</v>
      </c>
      <c r="M39" s="6">
        <v>4.5</v>
      </c>
      <c r="N39" s="59">
        <f>(L39-M39)*0.8/30*24</f>
        <v>3.52</v>
      </c>
    </row>
    <row r="40" spans="1:14">
      <c r="A40" s="10" t="s">
        <v>263</v>
      </c>
      <c r="B40" s="10" t="s">
        <v>200</v>
      </c>
      <c r="C40" s="35"/>
      <c r="D40" s="35"/>
      <c r="E40" s="4">
        <v>45012</v>
      </c>
      <c r="F40" s="40"/>
      <c r="G40" s="40"/>
      <c r="H40" s="5"/>
      <c r="I40" s="40"/>
      <c r="J40" s="40">
        <f>2.9*2</f>
        <v>5.8</v>
      </c>
      <c r="K40" s="40"/>
      <c r="L40" s="6">
        <v>20</v>
      </c>
      <c r="M40" s="6">
        <v>9</v>
      </c>
      <c r="N40" s="70">
        <f>(L40-M40)*0.8/30*3</f>
        <v>0.88</v>
      </c>
    </row>
    <row r="41" spans="1:14">
      <c r="A41" s="44" t="s">
        <v>189</v>
      </c>
      <c r="B41" s="44" t="s">
        <v>200</v>
      </c>
      <c r="C41" s="4"/>
      <c r="D41" s="4"/>
      <c r="E41" s="35">
        <v>44886</v>
      </c>
      <c r="F41" s="40"/>
      <c r="G41" s="5"/>
      <c r="H41" s="5">
        <f>4.65</f>
        <v>4.6500000000000004</v>
      </c>
      <c r="I41" s="5"/>
      <c r="J41" s="5"/>
      <c r="K41" s="5"/>
      <c r="L41" s="6">
        <v>47.7</v>
      </c>
      <c r="M41" s="61">
        <f>30.7+3.9</f>
        <v>34.6</v>
      </c>
      <c r="N41" s="6">
        <f t="shared" ref="N41:N47" si="2">(L41-M41)*0.8</f>
        <v>10.480000000000002</v>
      </c>
    </row>
    <row r="42" spans="1:14">
      <c r="A42" s="44" t="s">
        <v>189</v>
      </c>
      <c r="B42" s="44" t="s">
        <v>200</v>
      </c>
      <c r="C42" s="35"/>
      <c r="D42" s="35"/>
      <c r="E42" s="4">
        <v>44970</v>
      </c>
      <c r="F42" s="40"/>
      <c r="G42" s="40"/>
      <c r="H42" s="5"/>
      <c r="I42" s="40"/>
      <c r="J42" s="40">
        <f>9*2.9</f>
        <v>26.099999999999998</v>
      </c>
      <c r="K42" s="40"/>
      <c r="L42" s="6">
        <v>94.5</v>
      </c>
      <c r="M42" s="61">
        <f>45+3*7.1+4.5</f>
        <v>70.8</v>
      </c>
      <c r="N42" s="78">
        <f t="shared" si="2"/>
        <v>18.960000000000004</v>
      </c>
    </row>
    <row r="43" spans="1:14">
      <c r="A43" s="44" t="s">
        <v>88</v>
      </c>
      <c r="B43" s="44" t="s">
        <v>200</v>
      </c>
      <c r="C43" s="4"/>
      <c r="D43" s="4">
        <v>44928</v>
      </c>
      <c r="E43" s="35">
        <v>44928</v>
      </c>
      <c r="F43" s="40"/>
      <c r="G43" s="5"/>
      <c r="H43" s="5"/>
      <c r="I43" s="5"/>
      <c r="J43" s="5">
        <f>2.9</f>
        <v>2.9</v>
      </c>
      <c r="K43" s="5"/>
      <c r="L43" s="6">
        <v>84.9</v>
      </c>
      <c r="M43" s="61">
        <v>71.5</v>
      </c>
      <c r="N43" s="6">
        <f t="shared" si="2"/>
        <v>10.720000000000006</v>
      </c>
    </row>
    <row r="44" spans="1:14">
      <c r="A44" s="44" t="s">
        <v>10</v>
      </c>
      <c r="B44" s="44" t="s">
        <v>200</v>
      </c>
      <c r="C44" s="4"/>
      <c r="D44" s="4"/>
      <c r="E44" s="35">
        <v>44921</v>
      </c>
      <c r="F44" s="40"/>
      <c r="G44" s="5"/>
      <c r="H44" s="5">
        <f>9.03+2.9*103</f>
        <v>307.72999999999996</v>
      </c>
      <c r="I44" s="5"/>
      <c r="J44" s="5"/>
      <c r="K44" s="5"/>
      <c r="L44" s="6">
        <f>11.5*10+10*93</f>
        <v>1045</v>
      </c>
      <c r="M44" s="61">
        <f>4.5*93+6.85*10</f>
        <v>487</v>
      </c>
      <c r="N44" s="6">
        <f t="shared" si="2"/>
        <v>446.40000000000003</v>
      </c>
    </row>
    <row r="45" spans="1:14">
      <c r="A45" s="44" t="s">
        <v>188</v>
      </c>
      <c r="B45" s="44" t="s">
        <v>200</v>
      </c>
      <c r="C45" s="4"/>
      <c r="D45" s="4"/>
      <c r="E45" s="35">
        <v>44886</v>
      </c>
      <c r="F45" s="40"/>
      <c r="G45" s="5"/>
      <c r="H45" s="5">
        <f>4.65</f>
        <v>4.6500000000000004</v>
      </c>
      <c r="I45" s="5"/>
      <c r="J45" s="5"/>
      <c r="K45" s="5"/>
      <c r="L45" s="6">
        <v>18.8</v>
      </c>
      <c r="M45" s="61">
        <f>6.3+3.9</f>
        <v>10.199999999999999</v>
      </c>
      <c r="N45" s="6">
        <f t="shared" si="2"/>
        <v>6.8800000000000017</v>
      </c>
    </row>
    <row r="46" spans="1:14">
      <c r="A46" s="44" t="s">
        <v>203</v>
      </c>
      <c r="B46" s="75" t="s">
        <v>200</v>
      </c>
      <c r="C46" s="31"/>
      <c r="D46" s="31"/>
      <c r="E46" s="35">
        <v>44901</v>
      </c>
      <c r="F46" s="40"/>
      <c r="G46" s="5"/>
      <c r="H46" s="5">
        <f>0.75+2.9</f>
        <v>3.65</v>
      </c>
      <c r="I46" s="5"/>
      <c r="J46" s="5"/>
      <c r="K46" s="5"/>
      <c r="L46" s="6">
        <v>10</v>
      </c>
      <c r="M46" s="61">
        <f>5.3</f>
        <v>5.3</v>
      </c>
      <c r="N46" s="6">
        <f t="shared" si="2"/>
        <v>3.7600000000000002</v>
      </c>
    </row>
    <row r="47" spans="1:14">
      <c r="A47" s="44" t="s">
        <v>242</v>
      </c>
      <c r="B47" s="44" t="s">
        <v>200</v>
      </c>
      <c r="C47" s="35"/>
      <c r="D47" s="35"/>
      <c r="E47" s="4">
        <v>44970</v>
      </c>
      <c r="F47" s="40"/>
      <c r="G47" s="40"/>
      <c r="H47" s="5"/>
      <c r="I47" s="40"/>
      <c r="J47" s="40">
        <f>26*2.9</f>
        <v>75.399999999999991</v>
      </c>
      <c r="K47" s="40"/>
      <c r="L47" s="6">
        <f>10*16+11.5*10</f>
        <v>275</v>
      </c>
      <c r="M47" s="61">
        <f>4.5*10+7.1*10</f>
        <v>116</v>
      </c>
      <c r="N47" s="59">
        <f t="shared" si="2"/>
        <v>127.2</v>
      </c>
    </row>
    <row r="48" spans="1:14">
      <c r="A48" s="10" t="s">
        <v>270</v>
      </c>
      <c r="B48" s="10" t="s">
        <v>200</v>
      </c>
      <c r="C48" s="35"/>
      <c r="D48" s="35"/>
      <c r="E48" s="4">
        <v>45015</v>
      </c>
      <c r="F48" s="40"/>
      <c r="G48" s="40"/>
      <c r="H48" s="5"/>
      <c r="I48" s="40"/>
      <c r="J48" s="40">
        <f>2.9</f>
        <v>2.9</v>
      </c>
      <c r="K48" s="40"/>
      <c r="L48" s="6">
        <v>84.9</v>
      </c>
      <c r="M48" s="6">
        <v>71.5</v>
      </c>
      <c r="N48" s="59">
        <f>(L48-M48)*0.7/30*1</f>
        <v>0.31266666666666676</v>
      </c>
    </row>
    <row r="49" spans="1:14">
      <c r="A49" s="44" t="s">
        <v>223</v>
      </c>
      <c r="B49" s="44" t="s">
        <v>200</v>
      </c>
      <c r="C49" s="4"/>
      <c r="D49" s="4"/>
      <c r="E49" s="35">
        <v>44957</v>
      </c>
      <c r="F49" s="40"/>
      <c r="G49" s="5"/>
      <c r="H49" s="5"/>
      <c r="I49" s="5"/>
      <c r="J49" s="5">
        <f>3*2.9</f>
        <v>8.6999999999999993</v>
      </c>
      <c r="K49" s="5"/>
      <c r="L49" s="6">
        <f>14.9+14.9*2</f>
        <v>44.7</v>
      </c>
      <c r="M49" s="65">
        <f>6.85*3</f>
        <v>20.549999999999997</v>
      </c>
      <c r="N49" s="59">
        <f>(L49-M49)*0.8</f>
        <v>19.320000000000007</v>
      </c>
    </row>
    <row r="50" spans="1:14">
      <c r="A50" s="10" t="s">
        <v>258</v>
      </c>
      <c r="B50" s="10" t="s">
        <v>200</v>
      </c>
      <c r="C50" s="35"/>
      <c r="D50" s="35"/>
      <c r="E50" s="4">
        <v>44995</v>
      </c>
      <c r="F50" s="40"/>
      <c r="G50" s="40"/>
      <c r="H50" s="5"/>
      <c r="I50" s="40"/>
      <c r="J50" s="40">
        <f>45*2.9</f>
        <v>130.5</v>
      </c>
      <c r="K50" s="40"/>
      <c r="L50" s="6">
        <v>461.2</v>
      </c>
      <c r="M50" s="6">
        <f>9.2+10*6.85+13.1+7.1+19*3.5+3.5*13</f>
        <v>209.89999999999998</v>
      </c>
      <c r="N50" s="59">
        <f>(L50-M50)*0.8/30*20</f>
        <v>134.0266666666667</v>
      </c>
    </row>
    <row r="51" spans="1:14">
      <c r="A51" s="10" t="s">
        <v>260</v>
      </c>
      <c r="B51" s="10" t="s">
        <v>200</v>
      </c>
      <c r="C51" s="35"/>
      <c r="D51" s="35"/>
      <c r="E51" s="4">
        <v>44995</v>
      </c>
      <c r="F51" s="40"/>
      <c r="G51" s="40"/>
      <c r="H51" s="5"/>
      <c r="I51" s="40"/>
      <c r="J51" s="40">
        <f>2.9*25</f>
        <v>72.5</v>
      </c>
      <c r="K51" s="40"/>
      <c r="L51" s="6">
        <f>306.9+16.5</f>
        <v>323.39999999999998</v>
      </c>
      <c r="M51" s="6">
        <f>9.2*2+6.85*12+7.9*2+7.1*2+3.5*6+3.5</f>
        <v>155.1</v>
      </c>
      <c r="N51" s="59">
        <f>(L51-M51)*0.8/30*20</f>
        <v>89.759999999999991</v>
      </c>
    </row>
    <row r="52" spans="1:14">
      <c r="A52" s="10" t="s">
        <v>260</v>
      </c>
      <c r="B52" s="10" t="s">
        <v>200</v>
      </c>
      <c r="C52" s="35"/>
      <c r="D52" s="35"/>
      <c r="E52" s="4">
        <v>44987</v>
      </c>
      <c r="F52" s="40"/>
      <c r="G52" s="40"/>
      <c r="H52" s="5"/>
      <c r="I52" s="40"/>
      <c r="J52" s="40">
        <v>2.9</v>
      </c>
      <c r="K52" s="40"/>
      <c r="L52" s="6">
        <v>16.5</v>
      </c>
      <c r="M52" s="6">
        <v>7.9</v>
      </c>
      <c r="N52" s="59">
        <f>(L52-M52)*0.8/30*28</f>
        <v>6.4213333333333331</v>
      </c>
    </row>
    <row r="53" spans="1:14">
      <c r="A53" s="10" t="s">
        <v>261</v>
      </c>
      <c r="B53" s="10" t="s">
        <v>200</v>
      </c>
      <c r="C53" s="35"/>
      <c r="D53" s="35"/>
      <c r="E53" s="4">
        <v>45008</v>
      </c>
      <c r="F53" s="40"/>
      <c r="G53" s="40"/>
      <c r="H53" s="5"/>
      <c r="I53" s="40"/>
      <c r="J53" s="40">
        <v>2.9</v>
      </c>
      <c r="K53" s="40"/>
      <c r="L53" s="6">
        <v>47.8</v>
      </c>
      <c r="M53" s="6">
        <f>30.7+3.9</f>
        <v>34.6</v>
      </c>
      <c r="N53" s="59">
        <f>(L53-M53)*0.8/30*7</f>
        <v>2.4639999999999995</v>
      </c>
    </row>
    <row r="54" spans="1:14">
      <c r="A54" s="44" t="s">
        <v>219</v>
      </c>
      <c r="B54" s="44" t="s">
        <v>200</v>
      </c>
      <c r="C54" s="4"/>
      <c r="D54" s="4"/>
      <c r="E54" s="35">
        <v>44931</v>
      </c>
      <c r="F54" s="40"/>
      <c r="G54" s="5"/>
      <c r="H54" s="5"/>
      <c r="I54" s="5"/>
      <c r="J54" s="5">
        <f>2.9*2</f>
        <v>5.8</v>
      </c>
      <c r="K54" s="5"/>
      <c r="L54" s="6">
        <f>21.8</f>
        <v>21.8</v>
      </c>
      <c r="M54" s="61">
        <f>3.5+4.5</f>
        <v>8</v>
      </c>
      <c r="N54" s="6">
        <f>(L54-M54)*0.8</f>
        <v>11.040000000000001</v>
      </c>
    </row>
    <row r="55" spans="1:14">
      <c r="A55" s="44" t="s">
        <v>205</v>
      </c>
      <c r="B55" s="44" t="s">
        <v>200</v>
      </c>
      <c r="C55" s="4"/>
      <c r="D55" s="4"/>
      <c r="E55" s="35">
        <v>44921</v>
      </c>
      <c r="F55" s="40"/>
      <c r="G55" s="5"/>
      <c r="H55" s="5">
        <f>0.75+2.9</f>
        <v>3.65</v>
      </c>
      <c r="I55" s="5"/>
      <c r="J55" s="5"/>
      <c r="K55" s="5"/>
      <c r="L55" s="6">
        <v>14.9</v>
      </c>
      <c r="M55" s="61">
        <v>6.85</v>
      </c>
      <c r="N55" s="6">
        <f>(L55-M55)*0.8</f>
        <v>6.4400000000000013</v>
      </c>
    </row>
    <row r="56" spans="1:14">
      <c r="A56" s="44" t="s">
        <v>205</v>
      </c>
      <c r="B56" s="44" t="s">
        <v>200</v>
      </c>
      <c r="C56" s="4"/>
      <c r="D56" s="4">
        <v>44935</v>
      </c>
      <c r="E56" s="35">
        <v>44935</v>
      </c>
      <c r="F56" s="40"/>
      <c r="G56" s="5"/>
      <c r="H56" s="5"/>
      <c r="I56" s="5"/>
      <c r="J56" s="5">
        <f>2.9+2.9</f>
        <v>5.8</v>
      </c>
      <c r="K56" s="5"/>
      <c r="L56" s="6">
        <v>13.9</v>
      </c>
      <c r="M56" s="61">
        <f>6.3</f>
        <v>6.3</v>
      </c>
      <c r="N56" s="6">
        <f>(L56-M56)*0.8</f>
        <v>6.080000000000001</v>
      </c>
    </row>
    <row r="57" spans="1:14">
      <c r="A57" s="44" t="s">
        <v>205</v>
      </c>
      <c r="B57" s="44" t="s">
        <v>200</v>
      </c>
      <c r="C57" s="4"/>
      <c r="D57" s="4"/>
      <c r="E57" s="35">
        <v>44958</v>
      </c>
      <c r="F57" s="40"/>
      <c r="G57" s="5"/>
      <c r="H57" s="5"/>
      <c r="I57" s="5"/>
      <c r="J57" s="5">
        <v>2.9</v>
      </c>
      <c r="K57" s="5"/>
      <c r="L57" s="6">
        <v>12.5</v>
      </c>
      <c r="M57" s="65">
        <f>6.85</f>
        <v>6.85</v>
      </c>
      <c r="N57" s="59">
        <f>(L57-M57)*0.8</f>
        <v>4.5200000000000005</v>
      </c>
    </row>
    <row r="58" spans="1:14">
      <c r="A58" s="10" t="s">
        <v>205</v>
      </c>
      <c r="B58" s="10" t="s">
        <v>200</v>
      </c>
      <c r="C58" s="35"/>
      <c r="D58" s="35"/>
      <c r="E58" s="4">
        <v>44995</v>
      </c>
      <c r="F58" s="40"/>
      <c r="G58" s="40"/>
      <c r="H58" s="5"/>
      <c r="I58" s="40"/>
      <c r="J58" s="40">
        <v>2.9</v>
      </c>
      <c r="K58" s="40"/>
      <c r="L58" s="6">
        <v>12.5</v>
      </c>
      <c r="M58" s="61">
        <v>6.85</v>
      </c>
      <c r="N58" s="59">
        <f>(L58-M58)*0.8/30*20</f>
        <v>3.0133333333333336</v>
      </c>
    </row>
    <row r="59" spans="1:14">
      <c r="A59" s="10" t="s">
        <v>265</v>
      </c>
      <c r="B59" s="10" t="s">
        <v>200</v>
      </c>
      <c r="C59" s="35"/>
      <c r="D59" s="35"/>
      <c r="E59" s="4">
        <v>45012</v>
      </c>
      <c r="F59" s="40"/>
      <c r="G59" s="40"/>
      <c r="H59" s="5"/>
      <c r="I59" s="40"/>
      <c r="J59" s="40">
        <f>9*2.9</f>
        <v>26.099999999999998</v>
      </c>
      <c r="K59" s="40"/>
      <c r="L59" s="6">
        <v>141.1</v>
      </c>
      <c r="M59" s="6">
        <f>9+5*6.85+7.1+13.1</f>
        <v>63.45</v>
      </c>
      <c r="N59" s="59">
        <f>(L59-M59)*0.7/30*3</f>
        <v>5.4354999999999993</v>
      </c>
    </row>
    <row r="60" spans="1:14">
      <c r="A60" s="10" t="s">
        <v>266</v>
      </c>
      <c r="B60" s="10" t="s">
        <v>200</v>
      </c>
      <c r="C60" s="35"/>
      <c r="D60" s="35"/>
      <c r="E60" s="4">
        <v>44995</v>
      </c>
      <c r="F60" s="40"/>
      <c r="G60" s="40"/>
      <c r="H60" s="5"/>
      <c r="I60" s="40"/>
      <c r="J60" s="40">
        <v>2.9</v>
      </c>
      <c r="K60" s="40"/>
      <c r="L60" s="6">
        <v>13.9</v>
      </c>
      <c r="M60" s="6">
        <v>6.85</v>
      </c>
      <c r="N60" s="59">
        <f>(L60-M60)*0.7/30*20</f>
        <v>3.29</v>
      </c>
    </row>
    <row r="61" spans="1:14">
      <c r="A61" s="44" t="s">
        <v>232</v>
      </c>
      <c r="B61" s="44" t="s">
        <v>200</v>
      </c>
      <c r="C61" s="4"/>
      <c r="D61" s="4"/>
      <c r="E61" s="35">
        <v>44985</v>
      </c>
      <c r="F61" s="40"/>
      <c r="G61" s="5"/>
      <c r="H61" s="5"/>
      <c r="I61" s="5"/>
      <c r="J61" s="5">
        <f>13*2.9</f>
        <v>37.699999999999996</v>
      </c>
      <c r="K61" s="5"/>
      <c r="L61" s="6">
        <f>206</f>
        <v>206</v>
      </c>
      <c r="M61" s="65">
        <f>34.25+3.5+7.1+7.9+18.4+13.1*3</f>
        <v>110.45</v>
      </c>
      <c r="N61" s="59">
        <f>(L61-M61)*0.8</f>
        <v>76.44</v>
      </c>
    </row>
    <row r="62" spans="1:14">
      <c r="A62" s="38" t="s">
        <v>257</v>
      </c>
      <c r="B62" s="72" t="s">
        <v>200</v>
      </c>
      <c r="C62" s="36"/>
      <c r="D62" s="36"/>
      <c r="E62" s="15">
        <v>44988</v>
      </c>
      <c r="F62" s="40"/>
      <c r="G62" s="77"/>
      <c r="H62" s="37"/>
      <c r="I62" s="40"/>
      <c r="J62" s="40">
        <f>11*2.9</f>
        <v>31.9</v>
      </c>
      <c r="K62" s="40"/>
      <c r="L62" s="17">
        <v>147</v>
      </c>
      <c r="M62" s="26">
        <f>3*7.9+5*4.5+9.2+2*7.1</f>
        <v>69.600000000000009</v>
      </c>
      <c r="N62" s="85">
        <f>(L62-M62)*0.8/30*28</f>
        <v>57.791999999999987</v>
      </c>
    </row>
    <row r="63" spans="1:14">
      <c r="A63" s="44" t="s">
        <v>195</v>
      </c>
      <c r="B63" s="44" t="s">
        <v>200</v>
      </c>
      <c r="C63" s="4"/>
      <c r="D63" s="4"/>
      <c r="E63" s="35">
        <v>44890</v>
      </c>
      <c r="F63" s="40"/>
      <c r="G63" s="5"/>
      <c r="H63" s="5">
        <f>3.5+2.9*5</f>
        <v>18</v>
      </c>
      <c r="I63" s="5"/>
      <c r="J63" s="5"/>
      <c r="K63" s="5"/>
      <c r="L63" s="6">
        <f>19.9*5</f>
        <v>99.5</v>
      </c>
      <c r="M63" s="61">
        <f>7.1*5</f>
        <v>35.5</v>
      </c>
      <c r="N63" s="6">
        <f t="shared" ref="N63:N69" si="3">(L63-M63)*0.8</f>
        <v>51.2</v>
      </c>
    </row>
    <row r="64" spans="1:14">
      <c r="A64" s="44" t="s">
        <v>233</v>
      </c>
      <c r="B64" s="44" t="s">
        <v>200</v>
      </c>
      <c r="C64" s="4"/>
      <c r="D64" s="4"/>
      <c r="E64" s="35">
        <v>44971</v>
      </c>
      <c r="F64" s="40"/>
      <c r="G64" s="5"/>
      <c r="H64" s="5"/>
      <c r="I64" s="5"/>
      <c r="J64" s="5">
        <f>2.9*3</f>
        <v>8.6999999999999993</v>
      </c>
      <c r="K64" s="5"/>
      <c r="L64" s="6">
        <v>63.7</v>
      </c>
      <c r="M64" s="65">
        <v>31.1</v>
      </c>
      <c r="N64" s="59">
        <f t="shared" si="3"/>
        <v>26.080000000000002</v>
      </c>
    </row>
    <row r="65" spans="1:14">
      <c r="A65" s="44" t="s">
        <v>135</v>
      </c>
      <c r="B65" s="44" t="s">
        <v>200</v>
      </c>
      <c r="C65" s="4"/>
      <c r="D65" s="4"/>
      <c r="E65" s="35">
        <v>44964</v>
      </c>
      <c r="F65" s="40"/>
      <c r="G65" s="5"/>
      <c r="H65" s="5"/>
      <c r="I65" s="5"/>
      <c r="J65" s="5">
        <f>2.9*5</f>
        <v>14.5</v>
      </c>
      <c r="K65" s="5"/>
      <c r="L65" s="6">
        <v>68</v>
      </c>
      <c r="M65" s="65">
        <f>38.45</f>
        <v>38.450000000000003</v>
      </c>
      <c r="N65" s="59">
        <f t="shared" si="3"/>
        <v>23.64</v>
      </c>
    </row>
    <row r="66" spans="1:14">
      <c r="A66" s="44" t="s">
        <v>90</v>
      </c>
      <c r="B66" s="44" t="s">
        <v>200</v>
      </c>
      <c r="C66" s="4"/>
      <c r="D66" s="4"/>
      <c r="E66" s="35">
        <v>44957</v>
      </c>
      <c r="F66" s="40"/>
      <c r="G66" s="5"/>
      <c r="H66" s="5"/>
      <c r="I66" s="5"/>
      <c r="J66" s="5">
        <f>2.9</f>
        <v>2.9</v>
      </c>
      <c r="K66" s="5"/>
      <c r="L66" s="6">
        <v>47.8</v>
      </c>
      <c r="M66" s="65">
        <f>34.6</f>
        <v>34.6</v>
      </c>
      <c r="N66" s="59">
        <f t="shared" si="3"/>
        <v>10.559999999999997</v>
      </c>
    </row>
    <row r="67" spans="1:14">
      <c r="A67" s="44" t="s">
        <v>226</v>
      </c>
      <c r="B67" s="44" t="s">
        <v>200</v>
      </c>
      <c r="C67" s="4"/>
      <c r="D67" s="4"/>
      <c r="E67" s="35">
        <v>44974</v>
      </c>
      <c r="F67" s="40"/>
      <c r="G67" s="5"/>
      <c r="H67" s="5"/>
      <c r="I67" s="5"/>
      <c r="J67" s="5">
        <v>2.9</v>
      </c>
      <c r="K67" s="5"/>
      <c r="L67" s="6">
        <v>20.9</v>
      </c>
      <c r="M67" s="65">
        <v>9.1999999999999993</v>
      </c>
      <c r="N67" s="59">
        <f t="shared" si="3"/>
        <v>9.36</v>
      </c>
    </row>
    <row r="68" spans="1:14">
      <c r="A68" s="44" t="s">
        <v>238</v>
      </c>
      <c r="B68" s="44" t="s">
        <v>200</v>
      </c>
      <c r="C68" s="35"/>
      <c r="D68" s="35"/>
      <c r="E68" s="4">
        <v>44985</v>
      </c>
      <c r="F68" s="40"/>
      <c r="G68" s="40"/>
      <c r="H68" s="5"/>
      <c r="I68" s="40"/>
      <c r="J68" s="40">
        <f>29</f>
        <v>29</v>
      </c>
      <c r="K68" s="40"/>
      <c r="L68" s="6">
        <v>148</v>
      </c>
      <c r="M68" s="61">
        <f>7+63.2</f>
        <v>70.2</v>
      </c>
      <c r="N68" s="59">
        <f t="shared" si="3"/>
        <v>62.24</v>
      </c>
    </row>
    <row r="69" spans="1:14">
      <c r="A69" s="44" t="s">
        <v>215</v>
      </c>
      <c r="B69" s="44" t="s">
        <v>200</v>
      </c>
      <c r="C69" s="4"/>
      <c r="D69" s="4">
        <v>44944</v>
      </c>
      <c r="E69" s="35">
        <v>44944</v>
      </c>
      <c r="F69" s="40"/>
      <c r="G69" s="5"/>
      <c r="H69" s="5"/>
      <c r="I69" s="5"/>
      <c r="J69" s="5">
        <f>2.9*3</f>
        <v>8.6999999999999993</v>
      </c>
      <c r="K69" s="5"/>
      <c r="L69" s="6">
        <v>37.5</v>
      </c>
      <c r="M69" s="61">
        <f>6.85*3</f>
        <v>20.549999999999997</v>
      </c>
      <c r="N69" s="6">
        <f t="shared" si="3"/>
        <v>13.560000000000002</v>
      </c>
    </row>
    <row r="70" spans="1:14">
      <c r="A70" s="10" t="s">
        <v>215</v>
      </c>
      <c r="B70" s="10" t="s">
        <v>200</v>
      </c>
      <c r="C70" s="35"/>
      <c r="D70" s="35"/>
      <c r="E70" s="4">
        <v>44999</v>
      </c>
      <c r="F70" s="40"/>
      <c r="G70" s="40"/>
      <c r="H70" s="5"/>
      <c r="I70" s="40"/>
      <c r="J70" s="40">
        <v>2.9</v>
      </c>
      <c r="K70" s="40"/>
      <c r="L70" s="6">
        <v>10</v>
      </c>
      <c r="M70" s="61">
        <v>4.5</v>
      </c>
      <c r="N70" s="59">
        <f>(L70-M70)*0.8/30*16</f>
        <v>2.3466666666666667</v>
      </c>
    </row>
    <row r="71" spans="1:14">
      <c r="A71" s="10" t="s">
        <v>215</v>
      </c>
      <c r="B71" s="10" t="s">
        <v>200</v>
      </c>
      <c r="C71" s="35"/>
      <c r="D71" s="35"/>
      <c r="E71" s="4">
        <v>45008</v>
      </c>
      <c r="F71" s="40"/>
      <c r="G71" s="40"/>
      <c r="H71" s="5"/>
      <c r="I71" s="40"/>
      <c r="J71" s="40">
        <v>2.9</v>
      </c>
      <c r="K71" s="40"/>
      <c r="L71" s="6">
        <v>10</v>
      </c>
      <c r="M71" s="6">
        <v>4.5</v>
      </c>
      <c r="N71" s="59">
        <f>(L71-M71)*0.8/30*7</f>
        <v>1.0266666666666666</v>
      </c>
    </row>
    <row r="72" spans="1:14">
      <c r="A72" s="10" t="s">
        <v>215</v>
      </c>
      <c r="B72" s="10" t="s">
        <v>200</v>
      </c>
      <c r="C72" s="35"/>
      <c r="D72" s="35"/>
      <c r="E72" s="4">
        <v>45012</v>
      </c>
      <c r="F72" s="40"/>
      <c r="G72" s="40"/>
      <c r="H72" s="5"/>
      <c r="I72" s="40"/>
      <c r="J72" s="40">
        <v>2.9</v>
      </c>
      <c r="K72" s="40"/>
      <c r="L72" s="6">
        <v>22.8</v>
      </c>
      <c r="M72" s="6">
        <f>8.9+3.9</f>
        <v>12.8</v>
      </c>
      <c r="N72" s="59">
        <f>(L72-M72)*0.8/30*3</f>
        <v>0.8</v>
      </c>
    </row>
    <row r="73" spans="1:14">
      <c r="A73" s="10" t="s">
        <v>256</v>
      </c>
      <c r="B73" s="10" t="s">
        <v>200</v>
      </c>
      <c r="C73" s="35"/>
      <c r="D73" s="35"/>
      <c r="E73" s="4">
        <v>44994</v>
      </c>
      <c r="F73" s="40"/>
      <c r="G73" s="40"/>
      <c r="H73" s="5"/>
      <c r="I73" s="40"/>
      <c r="J73" s="40">
        <f>2.9*11</f>
        <v>31.9</v>
      </c>
      <c r="K73" s="40"/>
      <c r="L73" s="6">
        <v>126</v>
      </c>
      <c r="M73" s="6">
        <f>7.9+7*4.5+2*6.85+7.1</f>
        <v>60.199999999999996</v>
      </c>
      <c r="N73" s="59">
        <f>(L73-M73)*0.8/30*21</f>
        <v>36.848000000000013</v>
      </c>
    </row>
    <row r="74" spans="1:14">
      <c r="A74" s="10" t="s">
        <v>259</v>
      </c>
      <c r="B74" s="10" t="s">
        <v>200</v>
      </c>
      <c r="C74" s="35"/>
      <c r="D74" s="35"/>
      <c r="E74" s="4">
        <v>45006</v>
      </c>
      <c r="F74" s="40"/>
      <c r="G74" s="40"/>
      <c r="H74" s="5"/>
      <c r="I74" s="40"/>
      <c r="J74" s="40">
        <f>2.9*2</f>
        <v>5.8</v>
      </c>
      <c r="K74" s="40"/>
      <c r="L74" s="6">
        <f>9.9*2</f>
        <v>19.8</v>
      </c>
      <c r="M74" s="6">
        <f>7</f>
        <v>7</v>
      </c>
      <c r="N74" s="59">
        <f>(L74-M74)*0.8/30*9</f>
        <v>3.0720000000000005</v>
      </c>
    </row>
    <row r="75" spans="1:14">
      <c r="A75" s="44" t="s">
        <v>208</v>
      </c>
      <c r="B75" s="44" t="s">
        <v>200</v>
      </c>
      <c r="C75" s="4"/>
      <c r="D75" s="4">
        <v>44935</v>
      </c>
      <c r="E75" s="35">
        <v>44935</v>
      </c>
      <c r="F75" s="40"/>
      <c r="G75" s="5"/>
      <c r="H75" s="5"/>
      <c r="I75" s="5"/>
      <c r="J75" s="5">
        <v>6.8</v>
      </c>
      <c r="K75" s="5"/>
      <c r="L75" s="6">
        <v>35.799999999999997</v>
      </c>
      <c r="M75" s="61">
        <f>8.9*2</f>
        <v>17.8</v>
      </c>
      <c r="N75" s="6">
        <f>(L75-M75)*0.8</f>
        <v>14.399999999999999</v>
      </c>
    </row>
    <row r="76" spans="1:14">
      <c r="A76" s="44" t="s">
        <v>201</v>
      </c>
      <c r="B76" s="44" t="s">
        <v>200</v>
      </c>
      <c r="C76" s="4"/>
      <c r="D76" s="4"/>
      <c r="E76" s="35">
        <v>44909</v>
      </c>
      <c r="F76" s="40"/>
      <c r="G76" s="5"/>
      <c r="H76" s="5">
        <f>0.75+2.9</f>
        <v>3.65</v>
      </c>
      <c r="I76" s="5"/>
      <c r="J76" s="5"/>
      <c r="K76" s="5"/>
      <c r="L76" s="6">
        <v>25.9</v>
      </c>
      <c r="M76" s="61">
        <v>16</v>
      </c>
      <c r="N76" s="6">
        <f>(L76-M76)*0.8</f>
        <v>7.919999999999999</v>
      </c>
    </row>
    <row r="77" spans="1:14">
      <c r="A77" s="10" t="s">
        <v>264</v>
      </c>
      <c r="B77" s="10" t="s">
        <v>200</v>
      </c>
      <c r="C77" s="35"/>
      <c r="D77" s="35"/>
      <c r="E77" s="4">
        <v>45009</v>
      </c>
      <c r="F77" s="40"/>
      <c r="G77" s="40"/>
      <c r="H77" s="5"/>
      <c r="I77" s="40"/>
      <c r="J77" s="40">
        <f>2.9</f>
        <v>2.9</v>
      </c>
      <c r="K77" s="40"/>
      <c r="L77" s="6">
        <v>11.9</v>
      </c>
      <c r="M77" s="6">
        <v>4.5</v>
      </c>
      <c r="N77" s="59">
        <f>(L77-M77)*0.8/30*6</f>
        <v>1.1840000000000002</v>
      </c>
    </row>
    <row r="78" spans="1:14">
      <c r="A78" s="10" t="s">
        <v>264</v>
      </c>
      <c r="B78" s="10" t="s">
        <v>200</v>
      </c>
      <c r="C78" s="35"/>
      <c r="D78" s="35"/>
      <c r="E78" s="4">
        <v>45008</v>
      </c>
      <c r="F78" s="40"/>
      <c r="G78" s="40"/>
      <c r="H78" s="5"/>
      <c r="I78" s="40"/>
      <c r="J78" s="40">
        <f>2.9*17</f>
        <v>49.3</v>
      </c>
      <c r="K78" s="40"/>
      <c r="L78" s="6">
        <v>268.3</v>
      </c>
      <c r="M78" s="6">
        <f>3.5*2+7*4.5+4*6.85+7.1+7.9+19.5</f>
        <v>100.4</v>
      </c>
      <c r="N78" s="59">
        <f>(L78-M78)*0.8/30*7</f>
        <v>31.341333333333338</v>
      </c>
    </row>
    <row r="79" spans="1:14">
      <c r="A79" s="10" t="s">
        <v>262</v>
      </c>
      <c r="B79" s="10" t="s">
        <v>200</v>
      </c>
      <c r="C79" s="35"/>
      <c r="D79" s="35"/>
      <c r="E79" s="4">
        <v>45008</v>
      </c>
      <c r="F79" s="40"/>
      <c r="G79" s="40"/>
      <c r="H79" s="5"/>
      <c r="I79" s="40"/>
      <c r="J79" s="40">
        <f>2.9*9</f>
        <v>26.099999999999998</v>
      </c>
      <c r="K79" s="40"/>
      <c r="L79" s="6">
        <v>118.1</v>
      </c>
      <c r="M79" s="6">
        <f>3*3.5+3*4.5+6.85+7.1+9.2</f>
        <v>47.150000000000006</v>
      </c>
      <c r="N79" s="59">
        <f>(L79-M79)*0.8/30*7</f>
        <v>13.243999999999998</v>
      </c>
    </row>
    <row r="80" spans="1:14">
      <c r="A80" s="44" t="s">
        <v>196</v>
      </c>
      <c r="B80" s="44" t="s">
        <v>200</v>
      </c>
      <c r="C80" s="4"/>
      <c r="D80" s="4"/>
      <c r="E80" s="35">
        <v>44890</v>
      </c>
      <c r="F80" s="40"/>
      <c r="G80" s="5"/>
      <c r="H80" s="5">
        <f>1.75+2.9</f>
        <v>4.6500000000000004</v>
      </c>
      <c r="I80" s="5"/>
      <c r="J80" s="5"/>
      <c r="K80" s="5"/>
      <c r="L80" s="6">
        <f>42.9+4.9</f>
        <v>47.8</v>
      </c>
      <c r="M80" s="61">
        <f>30.7+3.9</f>
        <v>34.6</v>
      </c>
      <c r="N80" s="6">
        <f>(L80-M80)*0.8</f>
        <v>10.559999999999997</v>
      </c>
    </row>
    <row r="81" spans="1:14">
      <c r="A81" s="10" t="s">
        <v>139</v>
      </c>
      <c r="B81" s="10" t="s">
        <v>200</v>
      </c>
      <c r="C81" s="35"/>
      <c r="D81" s="35"/>
      <c r="E81" s="4">
        <v>44988</v>
      </c>
      <c r="F81" s="40"/>
      <c r="G81" s="40"/>
      <c r="H81" s="5"/>
      <c r="I81" s="40"/>
      <c r="J81" s="40">
        <f>2.9*2</f>
        <v>5.8</v>
      </c>
      <c r="K81" s="40"/>
      <c r="L81" s="6">
        <v>41.8</v>
      </c>
      <c r="M81" s="6">
        <f>9.2*2</f>
        <v>18.399999999999999</v>
      </c>
      <c r="N81" s="59">
        <f>(L81-M81)*0.8/30*27</f>
        <v>16.847999999999999</v>
      </c>
    </row>
    <row r="82" spans="1:14">
      <c r="A82" s="44" t="s">
        <v>236</v>
      </c>
      <c r="B82" s="44" t="s">
        <v>200</v>
      </c>
      <c r="C82" s="35"/>
      <c r="D82" s="35"/>
      <c r="E82" s="4">
        <v>44984</v>
      </c>
      <c r="F82" s="40"/>
      <c r="G82" s="40"/>
      <c r="H82" s="5"/>
      <c r="I82" s="40"/>
      <c r="J82" s="40">
        <f>4*2.9</f>
        <v>11.6</v>
      </c>
      <c r="K82" s="40"/>
      <c r="L82" s="6">
        <v>59.5</v>
      </c>
      <c r="M82" s="61">
        <f>7+9.2+6.3+3.9</f>
        <v>26.4</v>
      </c>
      <c r="N82" s="59">
        <f>(L82-M82)*0.8</f>
        <v>26.480000000000004</v>
      </c>
    </row>
    <row r="83" spans="1:14">
      <c r="A83" s="44" t="s">
        <v>222</v>
      </c>
      <c r="B83" s="44" t="s">
        <v>200</v>
      </c>
      <c r="C83" s="4"/>
      <c r="D83" s="4"/>
      <c r="E83" s="35">
        <v>44950</v>
      </c>
      <c r="F83" s="40"/>
      <c r="G83" s="5"/>
      <c r="H83" s="5"/>
      <c r="I83" s="5"/>
      <c r="J83" s="5">
        <f>2.9</f>
        <v>2.9</v>
      </c>
      <c r="K83" s="5"/>
      <c r="L83" s="6">
        <v>25.9</v>
      </c>
      <c r="M83" s="65">
        <f>16</f>
        <v>16</v>
      </c>
      <c r="N83" s="59">
        <f>(L83-M83)*0.8</f>
        <v>7.919999999999999</v>
      </c>
    </row>
    <row r="84" spans="1:14">
      <c r="A84" s="10" t="s">
        <v>222</v>
      </c>
      <c r="B84" s="10" t="s">
        <v>200</v>
      </c>
      <c r="C84" s="35"/>
      <c r="D84" s="35"/>
      <c r="E84" s="4">
        <v>45012</v>
      </c>
      <c r="F84" s="40"/>
      <c r="G84" s="40"/>
      <c r="H84" s="5"/>
      <c r="I84" s="40"/>
      <c r="J84" s="40">
        <f>2.9*7</f>
        <v>20.3</v>
      </c>
      <c r="K84" s="40"/>
      <c r="L84" s="6">
        <v>93.3</v>
      </c>
      <c r="M84" s="6">
        <f>3.5*3+3*6.85+7.9</f>
        <v>38.949999999999996</v>
      </c>
      <c r="N84" s="59">
        <f>(L84-M84)*0.7/30*20</f>
        <v>25.363333333333333</v>
      </c>
    </row>
    <row r="85" spans="1:14">
      <c r="A85" s="44" t="s">
        <v>174</v>
      </c>
      <c r="B85" s="44" t="s">
        <v>200</v>
      </c>
      <c r="C85" s="4"/>
      <c r="D85" s="4"/>
      <c r="E85" s="35">
        <v>44980</v>
      </c>
      <c r="F85" s="40"/>
      <c r="G85" s="5"/>
      <c r="H85" s="5"/>
      <c r="I85" s="5"/>
      <c r="J85" s="5">
        <f>2.9*2</f>
        <v>5.8</v>
      </c>
      <c r="K85" s="5"/>
      <c r="L85" s="6">
        <v>35.799999999999997</v>
      </c>
      <c r="M85" s="65">
        <f>16.05</f>
        <v>16.05</v>
      </c>
      <c r="N85" s="59">
        <f>(L85-M85)*0.8</f>
        <v>15.799999999999997</v>
      </c>
    </row>
    <row r="86" spans="1:14">
      <c r="A86" s="10" t="s">
        <v>254</v>
      </c>
      <c r="B86" s="10" t="s">
        <v>200</v>
      </c>
      <c r="C86" s="35" t="s">
        <v>282</v>
      </c>
      <c r="D86" s="35"/>
      <c r="E86" s="4">
        <v>45005</v>
      </c>
      <c r="F86" s="40"/>
      <c r="G86" s="40"/>
      <c r="H86" s="5"/>
      <c r="I86" s="40"/>
      <c r="J86" s="40">
        <f>2.9*12</f>
        <v>34.799999999999997</v>
      </c>
      <c r="K86" s="40"/>
      <c r="L86" s="6">
        <f>160</f>
        <v>160</v>
      </c>
      <c r="M86" s="6">
        <f>11*6.85+13.1</f>
        <v>88.449999999999989</v>
      </c>
      <c r="N86" s="59">
        <f>(L86-M86)*0.8/30*10</f>
        <v>19.080000000000005</v>
      </c>
    </row>
    <row r="87" spans="1:14">
      <c r="A87" s="44" t="s">
        <v>217</v>
      </c>
      <c r="B87" s="44" t="s">
        <v>200</v>
      </c>
      <c r="C87" s="4"/>
      <c r="D87" s="4"/>
      <c r="E87" s="35">
        <v>44942</v>
      </c>
      <c r="F87" s="40"/>
      <c r="G87" s="5"/>
      <c r="H87" s="5"/>
      <c r="I87" s="5"/>
      <c r="J87" s="5">
        <v>2.9</v>
      </c>
      <c r="K87" s="5"/>
      <c r="L87" s="6">
        <v>29</v>
      </c>
      <c r="M87" s="61">
        <v>13.1</v>
      </c>
      <c r="N87" s="6">
        <f t="shared" ref="N87:N92" si="4">(L87-M87)*0.8</f>
        <v>12.72</v>
      </c>
    </row>
    <row r="88" spans="1:14">
      <c r="A88" s="44" t="s">
        <v>124</v>
      </c>
      <c r="B88" s="44" t="s">
        <v>200</v>
      </c>
      <c r="C88" s="4"/>
      <c r="D88" s="4">
        <v>44938</v>
      </c>
      <c r="E88" s="35">
        <v>44938</v>
      </c>
      <c r="F88" s="40"/>
      <c r="G88" s="5"/>
      <c r="H88" s="5"/>
      <c r="I88" s="5"/>
      <c r="J88" s="5">
        <f>21*2.9+1.5</f>
        <v>62.4</v>
      </c>
      <c r="K88" s="5"/>
      <c r="L88" s="6">
        <f>16*13.5+5*19.9</f>
        <v>315.5</v>
      </c>
      <c r="M88" s="61">
        <f>16*4.5+5*7.1</f>
        <v>107.5</v>
      </c>
      <c r="N88" s="6">
        <f t="shared" si="4"/>
        <v>166.4</v>
      </c>
    </row>
    <row r="89" spans="1:14">
      <c r="A89" s="44" t="s">
        <v>124</v>
      </c>
      <c r="B89" s="44" t="s">
        <v>200</v>
      </c>
      <c r="C89" s="4"/>
      <c r="D89" s="4">
        <v>44952</v>
      </c>
      <c r="E89" s="35">
        <v>44952</v>
      </c>
      <c r="F89" s="40"/>
      <c r="G89" s="5"/>
      <c r="H89" s="5"/>
      <c r="I89" s="5"/>
      <c r="J89" s="5">
        <f>21*2.9</f>
        <v>60.9</v>
      </c>
      <c r="K89" s="5"/>
      <c r="L89" s="6">
        <f>4*13.5+2*19.9+29</f>
        <v>122.8</v>
      </c>
      <c r="M89" s="61">
        <f>4*4.5+2*7.1+13.1</f>
        <v>45.300000000000004</v>
      </c>
      <c r="N89" s="6">
        <f t="shared" si="4"/>
        <v>62</v>
      </c>
    </row>
    <row r="90" spans="1:14">
      <c r="A90" s="44" t="s">
        <v>187</v>
      </c>
      <c r="B90" s="44" t="s">
        <v>200</v>
      </c>
      <c r="C90" s="4"/>
      <c r="D90" s="4"/>
      <c r="E90" s="35">
        <v>44883</v>
      </c>
      <c r="F90" s="40"/>
      <c r="G90" s="5"/>
      <c r="H90" s="5">
        <v>4.6500000000000004</v>
      </c>
      <c r="I90" s="5"/>
      <c r="J90" s="5"/>
      <c r="K90" s="5"/>
      <c r="L90" s="6">
        <v>47.9</v>
      </c>
      <c r="M90" s="61">
        <v>19</v>
      </c>
      <c r="N90" s="6">
        <f t="shared" si="4"/>
        <v>23.12</v>
      </c>
    </row>
    <row r="91" spans="1:14">
      <c r="A91" s="44" t="s">
        <v>16</v>
      </c>
      <c r="B91" s="44" t="s">
        <v>200</v>
      </c>
      <c r="C91" s="4"/>
      <c r="D91" s="4"/>
      <c r="E91" s="35">
        <v>612</v>
      </c>
      <c r="F91" s="40"/>
      <c r="G91" s="5"/>
      <c r="H91" s="5">
        <f>0.75+2.9</f>
        <v>3.65</v>
      </c>
      <c r="I91" s="5"/>
      <c r="J91" s="5"/>
      <c r="K91" s="5"/>
      <c r="L91" s="6">
        <f>25.9+4.9</f>
        <v>30.799999999999997</v>
      </c>
      <c r="M91" s="61">
        <f>16+3.9</f>
        <v>19.899999999999999</v>
      </c>
      <c r="N91" s="6">
        <f t="shared" si="4"/>
        <v>8.7199999999999989</v>
      </c>
    </row>
    <row r="92" spans="1:14">
      <c r="A92" s="52" t="s">
        <v>16</v>
      </c>
      <c r="B92" s="52" t="s">
        <v>200</v>
      </c>
      <c r="C92" s="24"/>
      <c r="D92" s="24"/>
      <c r="E92" s="57">
        <v>44978</v>
      </c>
      <c r="F92" s="40"/>
      <c r="G92" s="5"/>
      <c r="H92" s="25"/>
      <c r="I92" s="25"/>
      <c r="J92" s="25">
        <f>2.9*4</f>
        <v>11.6</v>
      </c>
      <c r="K92" s="25"/>
      <c r="L92" s="27">
        <v>59.6</v>
      </c>
      <c r="M92" s="91">
        <f>6.85*4</f>
        <v>27.4</v>
      </c>
      <c r="N92" s="78">
        <f t="shared" si="4"/>
        <v>25.760000000000005</v>
      </c>
    </row>
    <row r="93" spans="1:14">
      <c r="A93" s="9" t="s">
        <v>10</v>
      </c>
      <c r="B93" s="9"/>
      <c r="C93" s="24">
        <v>41852</v>
      </c>
      <c r="D93" s="24"/>
      <c r="E93" s="24">
        <v>41852</v>
      </c>
      <c r="F93" s="25"/>
      <c r="G93" s="58"/>
      <c r="H93" s="25">
        <v>10</v>
      </c>
      <c r="I93" s="25"/>
      <c r="J93" s="25"/>
      <c r="K93" s="25">
        <f>F93+H93+J93</f>
        <v>10</v>
      </c>
      <c r="L93" s="27">
        <v>40</v>
      </c>
      <c r="M93" s="64">
        <v>25</v>
      </c>
      <c r="N93" s="27">
        <f t="shared" ref="N93:N126" si="5">(L93-M93)*0.7</f>
        <v>10.5</v>
      </c>
    </row>
    <row r="94" spans="1:14">
      <c r="A94" s="2" t="s">
        <v>17</v>
      </c>
      <c r="B94" s="2"/>
      <c r="C94" s="4"/>
      <c r="D94" s="4"/>
      <c r="E94" s="4">
        <v>42209</v>
      </c>
      <c r="F94" s="5"/>
      <c r="G94" s="49"/>
      <c r="H94" s="5"/>
      <c r="I94" s="5"/>
      <c r="J94" s="5"/>
      <c r="K94" s="5"/>
      <c r="L94" s="6">
        <v>90</v>
      </c>
      <c r="M94" s="61">
        <v>25</v>
      </c>
      <c r="N94" s="6">
        <f t="shared" si="5"/>
        <v>45.5</v>
      </c>
    </row>
    <row r="95" spans="1:14">
      <c r="A95" s="2" t="s">
        <v>15</v>
      </c>
      <c r="B95" s="2"/>
      <c r="C95" s="4">
        <v>42272</v>
      </c>
      <c r="D95" s="4"/>
      <c r="E95" s="4">
        <v>42275</v>
      </c>
      <c r="F95" s="5">
        <v>50</v>
      </c>
      <c r="G95" s="49"/>
      <c r="H95" s="5"/>
      <c r="I95" s="5">
        <f>25/30*3</f>
        <v>2.5</v>
      </c>
      <c r="J95" s="5"/>
      <c r="K95" s="5">
        <f>F95+H95+J95</f>
        <v>50</v>
      </c>
      <c r="L95" s="6">
        <v>40</v>
      </c>
      <c r="M95" s="61">
        <v>25</v>
      </c>
      <c r="N95" s="6">
        <f t="shared" si="5"/>
        <v>10.5</v>
      </c>
    </row>
    <row r="96" spans="1:14">
      <c r="A96" s="2" t="s">
        <v>18</v>
      </c>
      <c r="B96" s="2"/>
      <c r="C96" s="2"/>
      <c r="D96" s="2"/>
      <c r="E96" s="4">
        <v>42335</v>
      </c>
      <c r="F96" s="5"/>
      <c r="G96" s="49"/>
      <c r="H96" s="5"/>
      <c r="I96" s="5"/>
      <c r="J96" s="5"/>
      <c r="K96" s="5"/>
      <c r="L96" s="6">
        <v>90</v>
      </c>
      <c r="M96" s="61">
        <v>25</v>
      </c>
      <c r="N96" s="6">
        <f t="shared" si="5"/>
        <v>45.5</v>
      </c>
    </row>
    <row r="97" spans="1:14">
      <c r="A97" s="2" t="s">
        <v>16</v>
      </c>
      <c r="B97" s="2"/>
      <c r="C97" s="2"/>
      <c r="D97" s="2"/>
      <c r="E97" s="4">
        <v>42396</v>
      </c>
      <c r="F97" s="5"/>
      <c r="G97" s="49"/>
      <c r="H97" s="5"/>
      <c r="I97" s="5"/>
      <c r="J97" s="5"/>
      <c r="K97" s="5"/>
      <c r="L97" s="6">
        <v>50</v>
      </c>
      <c r="M97" s="61">
        <v>22</v>
      </c>
      <c r="N97" s="6">
        <f t="shared" si="5"/>
        <v>19.599999999999998</v>
      </c>
    </row>
    <row r="98" spans="1:14">
      <c r="A98" s="2" t="s">
        <v>22</v>
      </c>
      <c r="B98" s="2"/>
      <c r="C98" s="4">
        <v>42546</v>
      </c>
      <c r="D98" s="4"/>
      <c r="E98" s="4">
        <v>42571</v>
      </c>
      <c r="F98" s="5"/>
      <c r="G98" s="49"/>
      <c r="H98" s="5">
        <f>6.9+8.5</f>
        <v>15.4</v>
      </c>
      <c r="I98" s="5">
        <f>25*25/30</f>
        <v>20.833333333333332</v>
      </c>
      <c r="J98" s="5"/>
      <c r="K98" s="5"/>
      <c r="L98" s="6">
        <v>120</v>
      </c>
      <c r="M98" s="61">
        <v>25</v>
      </c>
      <c r="N98" s="6">
        <f t="shared" si="5"/>
        <v>66.5</v>
      </c>
    </row>
    <row r="99" spans="1:14">
      <c r="A99" s="2" t="s">
        <v>23</v>
      </c>
      <c r="B99" s="2"/>
      <c r="C99" s="4">
        <v>42560</v>
      </c>
      <c r="D99" s="4"/>
      <c r="E99" s="4">
        <v>42571</v>
      </c>
      <c r="F99" s="5"/>
      <c r="G99" s="49"/>
      <c r="H99" s="5">
        <v>8.5</v>
      </c>
      <c r="I99" s="5">
        <f>25*41/30</f>
        <v>34.166666666666664</v>
      </c>
      <c r="J99" s="5"/>
      <c r="K99" s="5"/>
      <c r="L99" s="6">
        <v>107.5</v>
      </c>
      <c r="M99" s="61">
        <v>25</v>
      </c>
      <c r="N99" s="6">
        <f t="shared" si="5"/>
        <v>57.749999999999993</v>
      </c>
    </row>
    <row r="100" spans="1:14">
      <c r="A100" s="2" t="s">
        <v>24</v>
      </c>
      <c r="B100" s="2"/>
      <c r="C100" s="4">
        <v>42530</v>
      </c>
      <c r="D100" s="4"/>
      <c r="E100" s="4">
        <v>42579</v>
      </c>
      <c r="F100" s="5"/>
      <c r="G100" s="49"/>
      <c r="H100" s="5">
        <f>8.5+6.9</f>
        <v>15.4</v>
      </c>
      <c r="I100" s="5">
        <f>25*52/30</f>
        <v>43.333333333333336</v>
      </c>
      <c r="J100" s="5"/>
      <c r="K100" s="5"/>
      <c r="L100" s="6">
        <v>90</v>
      </c>
      <c r="M100" s="61">
        <v>25</v>
      </c>
      <c r="N100" s="6">
        <f t="shared" si="5"/>
        <v>45.5</v>
      </c>
    </row>
    <row r="101" spans="1:14">
      <c r="A101" s="2" t="s">
        <v>26</v>
      </c>
      <c r="B101" s="2"/>
      <c r="C101" s="4">
        <v>42633</v>
      </c>
      <c r="D101" s="4"/>
      <c r="E101" s="4">
        <v>42644</v>
      </c>
      <c r="F101" s="5"/>
      <c r="G101" s="49"/>
      <c r="H101" s="5">
        <v>8.17</v>
      </c>
      <c r="I101" s="5">
        <f>25/30*10</f>
        <v>8.3333333333333339</v>
      </c>
      <c r="J101" s="5"/>
      <c r="K101" s="5"/>
      <c r="L101" s="6">
        <v>70</v>
      </c>
      <c r="M101" s="61">
        <v>25</v>
      </c>
      <c r="N101" s="6">
        <f t="shared" si="5"/>
        <v>31.499999999999996</v>
      </c>
    </row>
    <row r="102" spans="1:14">
      <c r="A102" s="2" t="s">
        <v>27</v>
      </c>
      <c r="B102" s="2"/>
      <c r="C102" s="4">
        <v>42656</v>
      </c>
      <c r="D102" s="4"/>
      <c r="E102" s="4">
        <v>42705</v>
      </c>
      <c r="F102" s="5"/>
      <c r="G102" s="49"/>
      <c r="H102" s="5">
        <v>8.17</v>
      </c>
      <c r="I102" s="5">
        <f>M102/30*47</f>
        <v>39.166666666666671</v>
      </c>
      <c r="J102" s="5"/>
      <c r="K102" s="5"/>
      <c r="L102" s="6">
        <v>40</v>
      </c>
      <c r="M102" s="61">
        <v>25</v>
      </c>
      <c r="N102" s="6">
        <f t="shared" si="5"/>
        <v>10.5</v>
      </c>
    </row>
    <row r="103" spans="1:14">
      <c r="A103" s="2" t="s">
        <v>29</v>
      </c>
      <c r="B103" s="2"/>
      <c r="C103" s="4">
        <v>42683</v>
      </c>
      <c r="D103" s="4"/>
      <c r="E103" s="4">
        <v>42718</v>
      </c>
      <c r="F103" s="5"/>
      <c r="G103" s="49"/>
      <c r="H103" s="5">
        <v>8.9700000000000006</v>
      </c>
      <c r="I103" s="5">
        <f>M103/30*35</f>
        <v>42</v>
      </c>
      <c r="J103" s="5"/>
      <c r="K103" s="5"/>
      <c r="L103" s="6">
        <f>105</f>
        <v>105</v>
      </c>
      <c r="M103" s="61">
        <v>36</v>
      </c>
      <c r="N103" s="6">
        <f t="shared" si="5"/>
        <v>48.3</v>
      </c>
    </row>
    <row r="104" spans="1:14">
      <c r="A104" s="2" t="s">
        <v>28</v>
      </c>
      <c r="B104" s="2"/>
      <c r="C104" s="4">
        <v>42711</v>
      </c>
      <c r="D104" s="4"/>
      <c r="E104" s="4">
        <v>42734</v>
      </c>
      <c r="F104" s="5"/>
      <c r="G104" s="49"/>
      <c r="H104" s="5">
        <v>8.17</v>
      </c>
      <c r="I104" s="5">
        <f>M104/30*23</f>
        <v>19.166666666666668</v>
      </c>
      <c r="J104" s="5"/>
      <c r="K104" s="5"/>
      <c r="L104" s="6">
        <v>40</v>
      </c>
      <c r="M104" s="61">
        <v>25</v>
      </c>
      <c r="N104" s="6">
        <f t="shared" si="5"/>
        <v>10.5</v>
      </c>
    </row>
    <row r="105" spans="1:14">
      <c r="A105" s="2" t="s">
        <v>30</v>
      </c>
      <c r="B105" s="2"/>
      <c r="C105" s="4">
        <v>42732</v>
      </c>
      <c r="D105" s="4"/>
      <c r="E105" s="4">
        <v>42759</v>
      </c>
      <c r="F105" s="5"/>
      <c r="G105" s="49"/>
      <c r="H105" s="5">
        <v>18.8</v>
      </c>
      <c r="I105" s="5">
        <f>M105/30*27</f>
        <v>23.400000000000002</v>
      </c>
      <c r="J105" s="5"/>
      <c r="K105" s="5"/>
      <c r="L105" s="6">
        <v>90</v>
      </c>
      <c r="M105" s="61">
        <v>26</v>
      </c>
      <c r="N105" s="6">
        <f t="shared" si="5"/>
        <v>44.8</v>
      </c>
    </row>
    <row r="106" spans="1:14">
      <c r="A106" s="2" t="s">
        <v>31</v>
      </c>
      <c r="B106" s="2"/>
      <c r="C106" s="4">
        <v>42735</v>
      </c>
      <c r="D106" s="4"/>
      <c r="E106" s="4">
        <v>42782</v>
      </c>
      <c r="F106" s="5">
        <v>50</v>
      </c>
      <c r="G106" s="49"/>
      <c r="H106" s="5">
        <v>20.63</v>
      </c>
      <c r="I106" s="5">
        <f>M106/30*46</f>
        <v>42.933333333333337</v>
      </c>
      <c r="J106" s="5"/>
      <c r="K106" s="5"/>
      <c r="L106" s="6">
        <v>92</v>
      </c>
      <c r="M106" s="61">
        <v>28</v>
      </c>
      <c r="N106" s="6">
        <f t="shared" si="5"/>
        <v>44.8</v>
      </c>
    </row>
    <row r="107" spans="1:14">
      <c r="A107" s="2" t="s">
        <v>32</v>
      </c>
      <c r="B107" s="2"/>
      <c r="C107" s="4">
        <v>42857</v>
      </c>
      <c r="D107" s="4"/>
      <c r="E107" s="4">
        <v>42866</v>
      </c>
      <c r="F107" s="5"/>
      <c r="G107" s="49"/>
      <c r="H107" s="5"/>
      <c r="I107" s="5">
        <f>23/30*9</f>
        <v>6.9</v>
      </c>
      <c r="J107" s="5">
        <f>60*0.7</f>
        <v>42</v>
      </c>
      <c r="K107" s="5"/>
      <c r="L107" s="6">
        <v>60</v>
      </c>
      <c r="M107" s="61">
        <v>23</v>
      </c>
      <c r="N107" s="6">
        <f t="shared" si="5"/>
        <v>25.9</v>
      </c>
    </row>
    <row r="108" spans="1:14">
      <c r="A108" s="2" t="s">
        <v>37</v>
      </c>
      <c r="B108" s="2"/>
      <c r="C108" s="4">
        <v>42891</v>
      </c>
      <c r="D108" s="4"/>
      <c r="E108" s="4">
        <v>42915</v>
      </c>
      <c r="F108" s="5"/>
      <c r="G108" s="49"/>
      <c r="H108" s="5">
        <v>6.83</v>
      </c>
      <c r="I108" s="5">
        <f>24/30*24</f>
        <v>19.200000000000003</v>
      </c>
      <c r="J108" s="5"/>
      <c r="K108" s="5"/>
      <c r="L108" s="6">
        <v>70</v>
      </c>
      <c r="M108" s="61">
        <v>24</v>
      </c>
      <c r="N108" s="6">
        <f t="shared" si="5"/>
        <v>32.199999999999996</v>
      </c>
    </row>
    <row r="109" spans="1:14">
      <c r="A109" s="2" t="s">
        <v>39</v>
      </c>
      <c r="B109" s="2"/>
      <c r="C109" s="4">
        <v>43081</v>
      </c>
      <c r="D109" s="4"/>
      <c r="E109" s="4">
        <v>43109</v>
      </c>
      <c r="F109" s="5"/>
      <c r="G109" s="49"/>
      <c r="H109" s="5">
        <v>9.83</v>
      </c>
      <c r="I109" s="5">
        <f>36/30*28</f>
        <v>33.6</v>
      </c>
      <c r="J109" s="5"/>
      <c r="K109" s="5"/>
      <c r="L109" s="6">
        <v>120</v>
      </c>
      <c r="M109" s="61">
        <v>36</v>
      </c>
      <c r="N109" s="6">
        <f t="shared" si="5"/>
        <v>58.8</v>
      </c>
    </row>
    <row r="110" spans="1:14">
      <c r="A110" s="22" t="s">
        <v>56</v>
      </c>
      <c r="B110" s="22"/>
      <c r="C110" s="4">
        <v>43361</v>
      </c>
      <c r="D110" s="4"/>
      <c r="E110" s="4">
        <v>43132</v>
      </c>
      <c r="F110" s="5"/>
      <c r="G110" s="49"/>
      <c r="H110" s="5">
        <v>14.11</v>
      </c>
      <c r="I110" s="5">
        <f>25*4+25/30*12</f>
        <v>110</v>
      </c>
      <c r="J110" s="5"/>
      <c r="K110" s="5"/>
      <c r="L110" s="6">
        <v>75</v>
      </c>
      <c r="M110" s="61">
        <v>25</v>
      </c>
      <c r="N110" s="6">
        <f t="shared" si="5"/>
        <v>35</v>
      </c>
    </row>
    <row r="111" spans="1:14">
      <c r="A111" s="2" t="s">
        <v>40</v>
      </c>
      <c r="B111" s="2"/>
      <c r="C111" s="4">
        <v>43106</v>
      </c>
      <c r="D111" s="4"/>
      <c r="E111" s="4">
        <v>43146</v>
      </c>
      <c r="F111" s="5"/>
      <c r="G111" s="49"/>
      <c r="H111" s="5">
        <v>8.2899999999999991</v>
      </c>
      <c r="I111" s="5">
        <f>25/30*39</f>
        <v>32.5</v>
      </c>
      <c r="J111" s="5"/>
      <c r="K111" s="5"/>
      <c r="L111" s="6">
        <v>70</v>
      </c>
      <c r="M111" s="61">
        <v>26</v>
      </c>
      <c r="N111" s="6">
        <f t="shared" si="5"/>
        <v>30.799999999999997</v>
      </c>
    </row>
    <row r="112" spans="1:14">
      <c r="A112" s="2" t="s">
        <v>44</v>
      </c>
      <c r="B112" s="2"/>
      <c r="C112" s="4">
        <v>43196</v>
      </c>
      <c r="D112" s="4"/>
      <c r="E112" s="4">
        <v>43250</v>
      </c>
      <c r="F112" s="5"/>
      <c r="G112" s="49"/>
      <c r="H112" s="5">
        <v>13.78</v>
      </c>
      <c r="I112" s="5">
        <f>25*24/30+25</f>
        <v>45</v>
      </c>
      <c r="J112" s="5"/>
      <c r="K112" s="5"/>
      <c r="L112" s="6">
        <f>60</f>
        <v>60</v>
      </c>
      <c r="M112" s="61">
        <v>25</v>
      </c>
      <c r="N112" s="6">
        <f t="shared" si="5"/>
        <v>24.5</v>
      </c>
    </row>
    <row r="113" spans="1:15">
      <c r="A113" s="22" t="s">
        <v>47</v>
      </c>
      <c r="B113" s="22"/>
      <c r="C113" s="4">
        <v>43355</v>
      </c>
      <c r="D113" s="4"/>
      <c r="E113" s="4">
        <v>43277</v>
      </c>
      <c r="F113" s="5"/>
      <c r="G113" s="49"/>
      <c r="H113" s="5">
        <v>19.98</v>
      </c>
      <c r="I113" s="5">
        <f>36*2+36/30*16</f>
        <v>91.2</v>
      </c>
      <c r="J113" s="5"/>
      <c r="K113" s="5"/>
      <c r="L113" s="6">
        <v>105</v>
      </c>
      <c r="M113" s="61">
        <v>36</v>
      </c>
      <c r="N113" s="6">
        <f t="shared" si="5"/>
        <v>48.3</v>
      </c>
    </row>
    <row r="114" spans="1:15">
      <c r="A114" s="22" t="s">
        <v>48</v>
      </c>
      <c r="B114" s="22"/>
      <c r="C114" s="4">
        <v>43367</v>
      </c>
      <c r="D114" s="4"/>
      <c r="E114" s="4">
        <v>43284</v>
      </c>
      <c r="F114" s="5"/>
      <c r="G114" s="49"/>
      <c r="H114" s="5">
        <v>9.1</v>
      </c>
      <c r="I114" s="5">
        <f>25+25/30*27</f>
        <v>47.5</v>
      </c>
      <c r="J114" s="5"/>
      <c r="K114" s="5"/>
      <c r="L114" s="6">
        <v>75</v>
      </c>
      <c r="M114" s="61">
        <v>25</v>
      </c>
      <c r="N114" s="6">
        <f t="shared" si="5"/>
        <v>35</v>
      </c>
    </row>
    <row r="115" spans="1:15">
      <c r="A115" s="2" t="s">
        <v>45</v>
      </c>
      <c r="B115" s="2"/>
      <c r="C115" s="4"/>
      <c r="D115" s="4"/>
      <c r="E115" s="4">
        <v>43286</v>
      </c>
      <c r="F115" s="5"/>
      <c r="G115" s="49"/>
      <c r="H115" s="5">
        <v>11.56</v>
      </c>
      <c r="I115" s="5"/>
      <c r="J115" s="5"/>
      <c r="K115" s="5"/>
      <c r="L115" s="6">
        <v>150</v>
      </c>
      <c r="M115" s="61">
        <v>76</v>
      </c>
      <c r="N115" s="6">
        <f t="shared" si="5"/>
        <v>51.8</v>
      </c>
      <c r="O115" s="20"/>
    </row>
    <row r="116" spans="1:15">
      <c r="A116" s="22" t="s">
        <v>49</v>
      </c>
      <c r="B116" s="22"/>
      <c r="C116" s="4">
        <v>43367</v>
      </c>
      <c r="D116" s="4"/>
      <c r="E116" s="4">
        <v>43291</v>
      </c>
      <c r="F116" s="5"/>
      <c r="G116" s="49"/>
      <c r="H116" s="5">
        <v>10.039999999999999</v>
      </c>
      <c r="I116" s="5">
        <f>50+25/30*14</f>
        <v>61.666666666666671</v>
      </c>
      <c r="J116" s="5"/>
      <c r="K116" s="5"/>
      <c r="L116" s="6">
        <v>50</v>
      </c>
      <c r="M116" s="61">
        <v>22</v>
      </c>
      <c r="N116" s="6">
        <f t="shared" si="5"/>
        <v>19.599999999999998</v>
      </c>
    </row>
    <row r="117" spans="1:15">
      <c r="A117" s="22" t="s">
        <v>51</v>
      </c>
      <c r="B117" s="22"/>
      <c r="C117" s="4">
        <v>43358</v>
      </c>
      <c r="D117" s="4"/>
      <c r="E117" s="4">
        <v>43291</v>
      </c>
      <c r="F117" s="5"/>
      <c r="G117" s="49"/>
      <c r="H117" s="5">
        <v>10.039999999999999</v>
      </c>
      <c r="I117" s="5">
        <f>50+25/30*5</f>
        <v>54.166666666666664</v>
      </c>
      <c r="J117" s="5"/>
      <c r="K117" s="5"/>
      <c r="L117" s="6">
        <v>75</v>
      </c>
      <c r="M117" s="61">
        <v>25</v>
      </c>
      <c r="N117" s="6">
        <f t="shared" si="5"/>
        <v>35</v>
      </c>
    </row>
    <row r="118" spans="1:15">
      <c r="A118" s="22" t="s">
        <v>52</v>
      </c>
      <c r="B118" s="22"/>
      <c r="C118" s="4">
        <v>43367</v>
      </c>
      <c r="D118" s="4"/>
      <c r="E118" s="4">
        <v>43308</v>
      </c>
      <c r="F118" s="5"/>
      <c r="G118" s="49"/>
      <c r="H118" s="5">
        <v>10.86</v>
      </c>
      <c r="I118" s="5">
        <f>25+25/30*27</f>
        <v>47.5</v>
      </c>
      <c r="J118" s="5"/>
      <c r="K118" s="5"/>
      <c r="L118" s="6">
        <v>75</v>
      </c>
      <c r="M118" s="61">
        <v>25</v>
      </c>
      <c r="N118" s="6">
        <f t="shared" si="5"/>
        <v>35</v>
      </c>
    </row>
    <row r="119" spans="1:15">
      <c r="A119" s="22" t="s">
        <v>50</v>
      </c>
      <c r="B119" s="22"/>
      <c r="C119" s="4">
        <v>43367</v>
      </c>
      <c r="D119" s="4"/>
      <c r="E119" s="4">
        <v>43312</v>
      </c>
      <c r="F119" s="5"/>
      <c r="G119" s="49"/>
      <c r="H119" s="5">
        <v>10.86</v>
      </c>
      <c r="I119" s="5">
        <f>25+25/30*24</f>
        <v>45</v>
      </c>
      <c r="J119" s="5"/>
      <c r="K119" s="5"/>
      <c r="L119" s="6">
        <v>70</v>
      </c>
      <c r="M119" s="61">
        <v>25</v>
      </c>
      <c r="N119" s="6">
        <f t="shared" si="5"/>
        <v>31.499999999999996</v>
      </c>
    </row>
    <row r="120" spans="1:15">
      <c r="A120" s="22" t="s">
        <v>55</v>
      </c>
      <c r="B120" s="22"/>
      <c r="C120" s="4">
        <v>43363</v>
      </c>
      <c r="D120" s="4"/>
      <c r="E120" s="4">
        <v>43440</v>
      </c>
      <c r="F120" s="5"/>
      <c r="G120" s="49"/>
      <c r="H120" s="5">
        <v>14.11</v>
      </c>
      <c r="I120" s="5">
        <f>25*2+25*16/30</f>
        <v>63.333333333333336</v>
      </c>
      <c r="J120" s="5"/>
      <c r="K120" s="5"/>
      <c r="L120" s="6">
        <v>75</v>
      </c>
      <c r="M120" s="61">
        <v>25</v>
      </c>
      <c r="N120" s="6">
        <f t="shared" si="5"/>
        <v>35</v>
      </c>
    </row>
    <row r="121" spans="1:15">
      <c r="A121" s="22" t="s">
        <v>54</v>
      </c>
      <c r="B121" s="22"/>
      <c r="C121" s="4">
        <v>43167</v>
      </c>
      <c r="D121" s="4"/>
      <c r="E121" s="4">
        <v>43455</v>
      </c>
      <c r="F121" s="5"/>
      <c r="G121" s="49"/>
      <c r="H121" s="5">
        <v>10.86</v>
      </c>
      <c r="I121" s="5">
        <f>9*25+25*13/30</f>
        <v>235.83333333333334</v>
      </c>
      <c r="J121" s="5"/>
      <c r="K121" s="5"/>
      <c r="L121" s="6">
        <v>90</v>
      </c>
      <c r="M121" s="61">
        <v>36</v>
      </c>
      <c r="N121" s="6">
        <f t="shared" si="5"/>
        <v>37.799999999999997</v>
      </c>
    </row>
    <row r="122" spans="1:15">
      <c r="A122" s="22" t="s">
        <v>57</v>
      </c>
      <c r="B122" s="22"/>
      <c r="C122" s="4">
        <v>43478</v>
      </c>
      <c r="D122" s="4"/>
      <c r="E122" s="4">
        <v>43536</v>
      </c>
      <c r="F122" s="5"/>
      <c r="G122" s="49"/>
      <c r="H122" s="5">
        <v>10.86</v>
      </c>
      <c r="I122" s="5">
        <v>25</v>
      </c>
      <c r="J122" s="5"/>
      <c r="K122" s="5"/>
      <c r="L122" s="6">
        <v>70</v>
      </c>
      <c r="M122" s="61">
        <v>25</v>
      </c>
      <c r="N122" s="6">
        <f t="shared" si="5"/>
        <v>31.499999999999996</v>
      </c>
    </row>
    <row r="123" spans="1:15">
      <c r="A123" s="22" t="s">
        <v>59</v>
      </c>
      <c r="B123" s="22"/>
      <c r="C123" s="4">
        <v>43528</v>
      </c>
      <c r="D123" s="4"/>
      <c r="E123" s="4">
        <v>43538</v>
      </c>
      <c r="F123" s="5"/>
      <c r="G123" s="49"/>
      <c r="H123" s="5">
        <v>14.92</v>
      </c>
      <c r="I123" s="5">
        <f>77/30*10</f>
        <v>25.666666666666668</v>
      </c>
      <c r="J123" s="5"/>
      <c r="K123" s="5"/>
      <c r="L123" s="6">
        <v>169</v>
      </c>
      <c r="M123" s="61">
        <f>64+11+2</f>
        <v>77</v>
      </c>
      <c r="N123" s="6">
        <f t="shared" si="5"/>
        <v>64.399999999999991</v>
      </c>
    </row>
    <row r="124" spans="1:15">
      <c r="A124" s="22" t="s">
        <v>58</v>
      </c>
      <c r="B124" s="22"/>
      <c r="C124" s="4">
        <v>43534</v>
      </c>
      <c r="D124" s="4"/>
      <c r="E124" s="4">
        <v>43542</v>
      </c>
      <c r="F124" s="5"/>
      <c r="G124" s="49"/>
      <c r="H124" s="5">
        <f>10.86*2</f>
        <v>21.72</v>
      </c>
      <c r="I124" s="5">
        <v>0</v>
      </c>
      <c r="J124" s="5"/>
      <c r="K124" s="5"/>
      <c r="L124" s="6">
        <v>120</v>
      </c>
      <c r="M124" s="61">
        <f>60+11</f>
        <v>71</v>
      </c>
      <c r="N124" s="6">
        <f t="shared" si="5"/>
        <v>34.299999999999997</v>
      </c>
    </row>
    <row r="125" spans="1:15">
      <c r="A125" s="22" t="s">
        <v>61</v>
      </c>
      <c r="B125" s="22"/>
      <c r="C125" s="4">
        <v>43482</v>
      </c>
      <c r="D125" s="4"/>
      <c r="E125" s="4">
        <v>43542</v>
      </c>
      <c r="F125" s="5"/>
      <c r="G125" s="49"/>
      <c r="H125" s="5">
        <v>11.1</v>
      </c>
      <c r="I125" s="5">
        <f>25*2</f>
        <v>50</v>
      </c>
      <c r="J125" s="5"/>
      <c r="K125" s="5"/>
      <c r="L125" s="6">
        <v>70</v>
      </c>
      <c r="M125" s="61">
        <v>26</v>
      </c>
      <c r="N125" s="6">
        <f t="shared" si="5"/>
        <v>30.799999999999997</v>
      </c>
    </row>
    <row r="126" spans="1:15">
      <c r="A126" s="22" t="s">
        <v>63</v>
      </c>
      <c r="B126" s="22"/>
      <c r="C126" s="4">
        <v>43593</v>
      </c>
      <c r="D126" s="4"/>
      <c r="E126" s="4">
        <v>43605</v>
      </c>
      <c r="F126" s="5"/>
      <c r="G126" s="49"/>
      <c r="H126" s="5">
        <f>10.86*2+20</f>
        <v>41.72</v>
      </c>
      <c r="I126" s="5">
        <f>18/30*12</f>
        <v>7.1999999999999993</v>
      </c>
      <c r="J126" s="5"/>
      <c r="K126" s="5"/>
      <c r="L126" s="6">
        <v>100</v>
      </c>
      <c r="M126" s="61">
        <f>11+7</f>
        <v>18</v>
      </c>
      <c r="N126" s="6">
        <f t="shared" si="5"/>
        <v>57.4</v>
      </c>
    </row>
    <row r="127" spans="1:15">
      <c r="A127" s="22" t="s">
        <v>67</v>
      </c>
      <c r="B127" s="22"/>
      <c r="C127" s="4">
        <v>43600</v>
      </c>
      <c r="D127" s="4"/>
      <c r="E127" s="4">
        <v>43629</v>
      </c>
      <c r="F127" s="5"/>
      <c r="G127" s="49"/>
      <c r="H127" s="5">
        <f>10.86*2</f>
        <v>21.72</v>
      </c>
      <c r="I127" s="5">
        <f>22/30*58</f>
        <v>42.533333333333331</v>
      </c>
      <c r="J127" s="5">
        <v>50</v>
      </c>
      <c r="K127" s="5">
        <f>H127+I127+J127</f>
        <v>114.25333333333333</v>
      </c>
      <c r="L127" s="6">
        <v>60</v>
      </c>
      <c r="M127" s="61">
        <v>25</v>
      </c>
      <c r="N127" s="6">
        <v>0</v>
      </c>
    </row>
    <row r="128" spans="1:15">
      <c r="A128" s="22" t="s">
        <v>66</v>
      </c>
      <c r="B128" s="22"/>
      <c r="C128" s="4">
        <v>43600</v>
      </c>
      <c r="D128" s="4"/>
      <c r="E128" s="4">
        <v>43629</v>
      </c>
      <c r="F128" s="5"/>
      <c r="G128" s="49"/>
      <c r="H128" s="5">
        <f>10.86</f>
        <v>10.86</v>
      </c>
      <c r="I128" s="5">
        <f>39/30*58</f>
        <v>75.400000000000006</v>
      </c>
      <c r="J128" s="5"/>
      <c r="K128" s="5">
        <f>H128+I128</f>
        <v>86.26</v>
      </c>
      <c r="L128" s="6">
        <v>110</v>
      </c>
      <c r="M128" s="61">
        <f>25+11+3</f>
        <v>39</v>
      </c>
      <c r="N128" s="6">
        <v>0</v>
      </c>
      <c r="O128" t="s">
        <v>73</v>
      </c>
    </row>
    <row r="129" spans="1:16">
      <c r="A129" s="22" t="s">
        <v>64</v>
      </c>
      <c r="B129" s="22"/>
      <c r="C129" s="4">
        <v>43627</v>
      </c>
      <c r="D129" s="4"/>
      <c r="E129" s="4">
        <v>43629</v>
      </c>
      <c r="F129" s="5"/>
      <c r="G129" s="49"/>
      <c r="H129" s="5">
        <v>10.86</v>
      </c>
      <c r="I129" s="5">
        <f>25/30*2</f>
        <v>1.6666666666666667</v>
      </c>
      <c r="J129" s="5"/>
      <c r="K129" s="5">
        <f>H129+I129</f>
        <v>12.526666666666666</v>
      </c>
      <c r="L129" s="6">
        <v>75</v>
      </c>
      <c r="M129" s="61">
        <v>33</v>
      </c>
      <c r="N129" s="6">
        <f t="shared" ref="N129:N142" si="6">(L129-M129)*0.7</f>
        <v>29.4</v>
      </c>
    </row>
    <row r="130" spans="1:16">
      <c r="A130" s="22" t="s">
        <v>65</v>
      </c>
      <c r="B130" s="22"/>
      <c r="C130" s="4">
        <v>43622</v>
      </c>
      <c r="D130" s="4"/>
      <c r="E130" s="4">
        <v>43650</v>
      </c>
      <c r="F130" s="5"/>
      <c r="G130" s="49"/>
      <c r="H130" s="5">
        <v>10.86</v>
      </c>
      <c r="I130" s="5"/>
      <c r="J130" s="5"/>
      <c r="K130" s="5"/>
      <c r="L130" s="6">
        <v>120</v>
      </c>
      <c r="M130" s="61">
        <v>60</v>
      </c>
      <c r="N130" s="6">
        <f t="shared" si="6"/>
        <v>42</v>
      </c>
    </row>
    <row r="131" spans="1:16">
      <c r="A131" s="22" t="s">
        <v>71</v>
      </c>
      <c r="B131" s="22"/>
      <c r="C131" s="4">
        <v>43635</v>
      </c>
      <c r="D131" s="4"/>
      <c r="E131" s="4">
        <v>43662</v>
      </c>
      <c r="F131" s="5"/>
      <c r="G131" s="49"/>
      <c r="H131" s="5">
        <f>10.86*2</f>
        <v>21.72</v>
      </c>
      <c r="I131" s="5"/>
      <c r="J131" s="5"/>
      <c r="K131" s="5"/>
      <c r="L131" s="6">
        <v>70</v>
      </c>
      <c r="M131" s="61">
        <v>26</v>
      </c>
      <c r="N131" s="6">
        <f t="shared" si="6"/>
        <v>30.799999999999997</v>
      </c>
      <c r="O131" t="s">
        <v>72</v>
      </c>
    </row>
    <row r="132" spans="1:16">
      <c r="A132" s="2" t="s">
        <v>75</v>
      </c>
      <c r="B132" s="2"/>
      <c r="C132" s="4">
        <v>43656</v>
      </c>
      <c r="D132" s="4"/>
      <c r="E132" s="4">
        <v>43711</v>
      </c>
      <c r="F132" s="5"/>
      <c r="G132" s="49"/>
      <c r="H132" s="5">
        <v>10.86</v>
      </c>
      <c r="I132" s="5">
        <f>36/30*48</f>
        <v>57.599999999999994</v>
      </c>
      <c r="J132" s="5"/>
      <c r="K132" s="5"/>
      <c r="L132" s="6">
        <v>105</v>
      </c>
      <c r="M132" s="61">
        <v>36</v>
      </c>
      <c r="N132" s="6">
        <f t="shared" si="6"/>
        <v>48.3</v>
      </c>
    </row>
    <row r="133" spans="1:16">
      <c r="A133" s="2" t="s">
        <v>76</v>
      </c>
      <c r="B133" s="2"/>
      <c r="C133" s="4">
        <v>43677</v>
      </c>
      <c r="D133" s="4"/>
      <c r="E133" s="4">
        <v>43713</v>
      </c>
      <c r="F133" s="5"/>
      <c r="G133" s="49"/>
      <c r="H133" s="5">
        <v>24.06</v>
      </c>
      <c r="I133" s="5">
        <f>80/30*35</f>
        <v>93.333333333333329</v>
      </c>
      <c r="J133" s="5">
        <v>40</v>
      </c>
      <c r="K133" s="5"/>
      <c r="L133" s="6">
        <v>149</v>
      </c>
      <c r="M133" s="61">
        <v>80</v>
      </c>
      <c r="N133" s="6">
        <f t="shared" si="6"/>
        <v>48.3</v>
      </c>
      <c r="O133" t="s">
        <v>79</v>
      </c>
    </row>
    <row r="134" spans="1:16">
      <c r="A134" s="2" t="s">
        <v>81</v>
      </c>
      <c r="B134" s="2"/>
      <c r="C134" s="4">
        <v>43788</v>
      </c>
      <c r="D134" s="4"/>
      <c r="E134" s="4">
        <v>43865</v>
      </c>
      <c r="F134" s="5"/>
      <c r="G134" s="49"/>
      <c r="H134" s="5">
        <v>9.14</v>
      </c>
      <c r="I134" s="5">
        <f>25/30*45</f>
        <v>37.5</v>
      </c>
      <c r="J134" s="5"/>
      <c r="K134" s="5"/>
      <c r="L134" s="6">
        <v>90</v>
      </c>
      <c r="M134" s="61">
        <v>25</v>
      </c>
      <c r="N134" s="6">
        <f t="shared" si="6"/>
        <v>45.5</v>
      </c>
    </row>
    <row r="135" spans="1:16">
      <c r="A135" s="22" t="s">
        <v>87</v>
      </c>
      <c r="B135" s="22"/>
      <c r="C135" s="35">
        <v>43878</v>
      </c>
      <c r="D135" s="35"/>
      <c r="E135" s="35">
        <v>43892</v>
      </c>
      <c r="F135" s="5"/>
      <c r="G135" s="49"/>
      <c r="H135" s="5">
        <v>12.19</v>
      </c>
      <c r="I135" s="5">
        <v>5.5</v>
      </c>
      <c r="J135" s="5"/>
      <c r="K135" s="5"/>
      <c r="L135" s="6">
        <v>25</v>
      </c>
      <c r="M135" s="61">
        <v>11</v>
      </c>
      <c r="N135" s="6">
        <f t="shared" si="6"/>
        <v>9.7999999999999989</v>
      </c>
    </row>
    <row r="136" spans="1:16">
      <c r="A136" s="22" t="s">
        <v>89</v>
      </c>
      <c r="B136" s="22"/>
      <c r="C136" s="35">
        <v>43908</v>
      </c>
      <c r="D136" s="35"/>
      <c r="E136" s="35">
        <v>43893</v>
      </c>
      <c r="F136" s="5"/>
      <c r="G136" s="49"/>
      <c r="H136" s="5">
        <v>9.6</v>
      </c>
      <c r="I136" s="5">
        <v>5.5</v>
      </c>
      <c r="J136" s="5"/>
      <c r="K136" s="5"/>
      <c r="L136" s="6">
        <v>25</v>
      </c>
      <c r="M136" s="61">
        <v>11</v>
      </c>
      <c r="N136" s="6">
        <f t="shared" si="6"/>
        <v>9.7999999999999989</v>
      </c>
    </row>
    <row r="137" spans="1:16">
      <c r="A137" s="22" t="s">
        <v>85</v>
      </c>
      <c r="B137" s="22"/>
      <c r="C137" s="35">
        <v>43881</v>
      </c>
      <c r="D137" s="35"/>
      <c r="E137" s="35">
        <v>43895</v>
      </c>
      <c r="F137" s="5"/>
      <c r="G137" s="49"/>
      <c r="H137" s="5">
        <v>9.14</v>
      </c>
      <c r="I137" s="5">
        <f>11/30*15</f>
        <v>5.5</v>
      </c>
      <c r="J137" s="5"/>
      <c r="K137" s="5"/>
      <c r="L137" s="6">
        <v>25</v>
      </c>
      <c r="M137" s="61">
        <v>11</v>
      </c>
      <c r="N137" s="6">
        <f t="shared" si="6"/>
        <v>9.7999999999999989</v>
      </c>
    </row>
    <row r="138" spans="1:16">
      <c r="A138" s="22" t="s">
        <v>82</v>
      </c>
      <c r="B138" s="22"/>
      <c r="C138" s="35">
        <v>40235</v>
      </c>
      <c r="D138" s="35"/>
      <c r="E138" s="35">
        <v>43901</v>
      </c>
      <c r="F138" s="5"/>
      <c r="G138" s="49"/>
      <c r="H138" s="5">
        <v>9.6</v>
      </c>
      <c r="I138" s="5">
        <f>11/2</f>
        <v>5.5</v>
      </c>
      <c r="J138" s="5"/>
      <c r="K138" s="5"/>
      <c r="L138" s="6">
        <v>25</v>
      </c>
      <c r="M138" s="61">
        <v>11</v>
      </c>
      <c r="N138" s="6">
        <f t="shared" si="6"/>
        <v>9.7999999999999989</v>
      </c>
    </row>
    <row r="139" spans="1:16">
      <c r="A139" s="22" t="s">
        <v>84</v>
      </c>
      <c r="B139" s="22"/>
      <c r="C139" s="35">
        <v>43889</v>
      </c>
      <c r="D139" s="35"/>
      <c r="E139" s="35">
        <v>43903</v>
      </c>
      <c r="F139" s="5"/>
      <c r="G139" s="49"/>
      <c r="H139" s="5">
        <v>9.14</v>
      </c>
      <c r="I139" s="5">
        <f>11/30*15</f>
        <v>5.5</v>
      </c>
      <c r="J139" s="5"/>
      <c r="K139" s="5"/>
      <c r="L139" s="6">
        <v>25</v>
      </c>
      <c r="M139" s="61">
        <v>11</v>
      </c>
      <c r="N139" s="6">
        <f t="shared" si="6"/>
        <v>9.7999999999999989</v>
      </c>
    </row>
    <row r="140" spans="1:16">
      <c r="A140" s="22" t="s">
        <v>80</v>
      </c>
      <c r="B140" s="22"/>
      <c r="C140" s="35">
        <v>43873</v>
      </c>
      <c r="D140" s="35"/>
      <c r="E140" s="35">
        <v>43910</v>
      </c>
      <c r="F140" s="5"/>
      <c r="G140" s="49"/>
      <c r="H140" s="5">
        <v>21.84</v>
      </c>
      <c r="I140" s="5">
        <f>56/30*38</f>
        <v>70.933333333333337</v>
      </c>
      <c r="J140" s="5"/>
      <c r="K140" s="5"/>
      <c r="L140" s="6">
        <v>120</v>
      </c>
      <c r="M140" s="61">
        <v>56</v>
      </c>
      <c r="N140" s="6">
        <f t="shared" si="6"/>
        <v>44.8</v>
      </c>
    </row>
    <row r="141" spans="1:16">
      <c r="A141" s="22" t="s">
        <v>83</v>
      </c>
      <c r="B141" s="22"/>
      <c r="C141" s="35">
        <v>43872</v>
      </c>
      <c r="D141" s="35"/>
      <c r="E141" s="35">
        <v>43913</v>
      </c>
      <c r="F141" s="5"/>
      <c r="G141" s="49"/>
      <c r="H141" s="5">
        <v>12.24</v>
      </c>
      <c r="I141" s="5">
        <f>45/30*42</f>
        <v>63</v>
      </c>
      <c r="J141" s="5"/>
      <c r="K141" s="5"/>
      <c r="L141" s="6">
        <v>85</v>
      </c>
      <c r="M141" s="61">
        <v>45</v>
      </c>
      <c r="N141" s="6">
        <f t="shared" si="6"/>
        <v>28</v>
      </c>
    </row>
    <row r="142" spans="1:16">
      <c r="A142" s="22" t="s">
        <v>88</v>
      </c>
      <c r="B142" s="22"/>
      <c r="C142" s="35">
        <v>43855</v>
      </c>
      <c r="D142" s="35"/>
      <c r="E142" s="35">
        <v>43941</v>
      </c>
      <c r="F142" s="5"/>
      <c r="G142" s="49"/>
      <c r="H142" s="5">
        <v>13.93</v>
      </c>
      <c r="I142" s="5">
        <f>56/30*85</f>
        <v>158.66666666666666</v>
      </c>
      <c r="J142" s="5"/>
      <c r="K142" s="5"/>
      <c r="L142" s="6">
        <v>110</v>
      </c>
      <c r="M142" s="61">
        <v>56</v>
      </c>
      <c r="N142" s="6">
        <f t="shared" si="6"/>
        <v>37.799999999999997</v>
      </c>
    </row>
    <row r="143" spans="1:16">
      <c r="A143" s="22" t="s">
        <v>90</v>
      </c>
      <c r="B143" s="22"/>
      <c r="C143" s="35" t="s">
        <v>96</v>
      </c>
      <c r="D143" s="35"/>
      <c r="E143" s="35">
        <v>44015</v>
      </c>
      <c r="F143" s="5" t="s">
        <v>160</v>
      </c>
      <c r="G143" s="49">
        <v>12.5</v>
      </c>
      <c r="H143" s="5">
        <v>11.29</v>
      </c>
      <c r="I143" s="5">
        <f>100</f>
        <v>100</v>
      </c>
      <c r="J143" s="5"/>
      <c r="K143" s="5"/>
      <c r="L143" s="6">
        <v>75</v>
      </c>
      <c r="M143" s="61">
        <f>25+11</f>
        <v>36</v>
      </c>
      <c r="N143" s="6">
        <f>12.5+(62.5-M143)*0.7</f>
        <v>31.049999999999997</v>
      </c>
      <c r="P143" s="41"/>
    </row>
    <row r="144" spans="1:16">
      <c r="A144" s="22" t="s">
        <v>97</v>
      </c>
      <c r="B144" s="22"/>
      <c r="C144" s="35">
        <v>43990</v>
      </c>
      <c r="D144" s="35"/>
      <c r="E144" s="35">
        <v>44036</v>
      </c>
      <c r="F144" s="5"/>
      <c r="G144" s="49"/>
      <c r="H144" s="5">
        <v>8.75</v>
      </c>
      <c r="I144" s="5">
        <f>56/30*46</f>
        <v>85.866666666666674</v>
      </c>
      <c r="J144" s="5"/>
      <c r="K144" s="5"/>
      <c r="L144" s="6">
        <v>110</v>
      </c>
      <c r="M144" s="61">
        <f>45+11</f>
        <v>56</v>
      </c>
      <c r="N144" s="6">
        <f>(L144-M144)*0.7</f>
        <v>37.799999999999997</v>
      </c>
    </row>
    <row r="145" spans="1:16">
      <c r="A145" s="22" t="s">
        <v>95</v>
      </c>
      <c r="B145" s="22"/>
      <c r="C145" s="35">
        <v>44028</v>
      </c>
      <c r="D145" s="35"/>
      <c r="E145" s="35">
        <v>44040</v>
      </c>
      <c r="F145" s="5"/>
      <c r="G145" s="49"/>
      <c r="H145" s="5">
        <v>8.75</v>
      </c>
      <c r="I145" s="5">
        <f>41/30*12</f>
        <v>16.399999999999999</v>
      </c>
      <c r="J145" s="5"/>
      <c r="K145" s="5"/>
      <c r="L145" s="6">
        <v>60</v>
      </c>
      <c r="M145" s="61">
        <v>41</v>
      </c>
      <c r="N145" s="6">
        <f>(L145-M145)*0.7</f>
        <v>13.299999999999999</v>
      </c>
    </row>
    <row r="146" spans="1:16">
      <c r="A146" s="22" t="s">
        <v>98</v>
      </c>
      <c r="B146" s="22"/>
      <c r="C146" s="35">
        <v>44048</v>
      </c>
      <c r="D146" s="35"/>
      <c r="E146" s="35">
        <v>44081</v>
      </c>
      <c r="F146" s="5" t="s">
        <v>160</v>
      </c>
      <c r="G146" s="49">
        <v>17.5</v>
      </c>
      <c r="H146" s="5">
        <v>27.88</v>
      </c>
      <c r="I146" s="5">
        <f>58/30*32</f>
        <v>61.866666666666667</v>
      </c>
      <c r="J146" s="5">
        <v>125</v>
      </c>
      <c r="K146" s="5"/>
      <c r="L146" s="6">
        <v>140</v>
      </c>
      <c r="M146" s="61">
        <f>25+33</f>
        <v>58</v>
      </c>
      <c r="N146" s="6">
        <f>17.5+64.5*0.7</f>
        <v>62.65</v>
      </c>
      <c r="P146" s="41"/>
    </row>
    <row r="147" spans="1:16">
      <c r="A147" s="22" t="s">
        <v>91</v>
      </c>
      <c r="B147" s="22"/>
      <c r="C147" s="35">
        <v>44011</v>
      </c>
      <c r="D147" s="35"/>
      <c r="E147" s="35">
        <v>44084</v>
      </c>
      <c r="F147" s="5"/>
      <c r="G147" s="49"/>
      <c r="H147" s="5">
        <v>11.29</v>
      </c>
      <c r="I147" s="5">
        <f>25/30*71</f>
        <v>59.166666666666671</v>
      </c>
      <c r="J147" s="5"/>
      <c r="K147" s="5"/>
      <c r="L147" s="6">
        <v>40</v>
      </c>
      <c r="M147" s="61">
        <v>25</v>
      </c>
      <c r="N147" s="6">
        <f>(L147-M147)*0.7</f>
        <v>10.5</v>
      </c>
    </row>
    <row r="148" spans="1:16">
      <c r="A148" s="2" t="s">
        <v>99</v>
      </c>
      <c r="B148" s="2"/>
      <c r="C148" s="35">
        <v>44084</v>
      </c>
      <c r="D148" s="35"/>
      <c r="E148" s="35">
        <v>44105</v>
      </c>
      <c r="F148" s="5" t="s">
        <v>160</v>
      </c>
      <c r="G148" s="49">
        <v>5</v>
      </c>
      <c r="H148" s="5">
        <v>12.24</v>
      </c>
      <c r="I148" s="5">
        <f>25/30*20</f>
        <v>16.666666666666668</v>
      </c>
      <c r="J148" s="5"/>
      <c r="K148" s="5"/>
      <c r="L148" s="43">
        <v>40</v>
      </c>
      <c r="M148" s="61">
        <v>22</v>
      </c>
      <c r="N148" s="6">
        <f>5+13*0.7</f>
        <v>14.1</v>
      </c>
      <c r="P148" s="41"/>
    </row>
    <row r="149" spans="1:16">
      <c r="A149" s="2" t="s">
        <v>102</v>
      </c>
      <c r="B149" s="2"/>
      <c r="C149" s="4" t="s">
        <v>103</v>
      </c>
      <c r="D149" s="4"/>
      <c r="E149" s="4">
        <v>44110</v>
      </c>
      <c r="F149" s="5" t="s">
        <v>160</v>
      </c>
      <c r="G149" s="49">
        <v>10</v>
      </c>
      <c r="H149" s="5">
        <v>36.65</v>
      </c>
      <c r="I149" s="5">
        <f>115/30*26</f>
        <v>99.666666666666671</v>
      </c>
      <c r="J149" s="5"/>
      <c r="K149" s="5"/>
      <c r="L149" s="6">
        <v>180</v>
      </c>
      <c r="M149" s="61">
        <v>115</v>
      </c>
      <c r="N149" s="6">
        <f>10+55*0.7</f>
        <v>48.5</v>
      </c>
      <c r="P149" s="41"/>
    </row>
    <row r="150" spans="1:16">
      <c r="A150" s="2" t="s">
        <v>94</v>
      </c>
      <c r="B150" s="2"/>
      <c r="C150" s="35">
        <v>44124</v>
      </c>
      <c r="D150" s="35"/>
      <c r="E150" s="35">
        <v>44124</v>
      </c>
      <c r="F150" s="5"/>
      <c r="G150" s="49"/>
      <c r="H150" s="5">
        <v>7.25</v>
      </c>
      <c r="I150" s="5">
        <v>0</v>
      </c>
      <c r="J150" s="5"/>
      <c r="K150" s="5"/>
      <c r="L150" s="6">
        <v>25</v>
      </c>
      <c r="M150" s="61">
        <v>11</v>
      </c>
      <c r="N150" s="6">
        <f>(L150-M150)*0.7</f>
        <v>9.7999999999999989</v>
      </c>
    </row>
    <row r="151" spans="1:16">
      <c r="A151" s="2" t="s">
        <v>100</v>
      </c>
      <c r="B151" s="2"/>
      <c r="C151" s="4">
        <v>44018</v>
      </c>
      <c r="D151" s="4"/>
      <c r="E151" s="4">
        <v>44124</v>
      </c>
      <c r="F151" s="40"/>
      <c r="G151" s="2"/>
      <c r="H151" s="5">
        <v>9.5</v>
      </c>
      <c r="I151" s="5">
        <f>25/30*104</f>
        <v>86.666666666666671</v>
      </c>
      <c r="J151" s="5"/>
      <c r="K151" s="5"/>
      <c r="L151" s="6">
        <v>70</v>
      </c>
      <c r="M151" s="61">
        <v>25</v>
      </c>
      <c r="N151" s="6">
        <f>(L151-M151)*0.7</f>
        <v>31.499999999999996</v>
      </c>
    </row>
    <row r="152" spans="1:16">
      <c r="A152" s="2" t="s">
        <v>101</v>
      </c>
      <c r="B152" s="2"/>
      <c r="C152" s="4">
        <v>44070</v>
      </c>
      <c r="D152" s="4"/>
      <c r="E152" s="4">
        <v>44131</v>
      </c>
      <c r="F152" s="40"/>
      <c r="G152" s="2"/>
      <c r="H152" s="5">
        <v>13.93</v>
      </c>
      <c r="I152" s="5">
        <f>71/30*60</f>
        <v>142</v>
      </c>
      <c r="J152" s="5"/>
      <c r="K152" s="5"/>
      <c r="L152" s="6">
        <v>120</v>
      </c>
      <c r="M152" s="61">
        <f>60+11</f>
        <v>71</v>
      </c>
      <c r="N152" s="6">
        <f>(L152-M152)*0.7</f>
        <v>34.299999999999997</v>
      </c>
    </row>
    <row r="153" spans="1:16">
      <c r="A153" s="22" t="s">
        <v>104</v>
      </c>
      <c r="B153" s="22"/>
      <c r="C153" s="4">
        <v>44159</v>
      </c>
      <c r="D153" s="4"/>
      <c r="E153" s="4">
        <v>44187</v>
      </c>
      <c r="F153" s="40"/>
      <c r="G153" s="2"/>
      <c r="H153" s="5">
        <v>13.93</v>
      </c>
      <c r="I153" s="5">
        <f>36/30*28</f>
        <v>33.6</v>
      </c>
      <c r="J153" s="5"/>
      <c r="K153" s="5"/>
      <c r="L153" s="6">
        <v>110</v>
      </c>
      <c r="M153" s="61">
        <f>25+11</f>
        <v>36</v>
      </c>
      <c r="N153" s="6">
        <f>(L153-M153)*0.7</f>
        <v>51.8</v>
      </c>
    </row>
    <row r="154" spans="1:16">
      <c r="A154" s="22" t="s">
        <v>120</v>
      </c>
      <c r="B154" s="22"/>
      <c r="C154" s="4">
        <v>44169</v>
      </c>
      <c r="D154" s="4"/>
      <c r="E154" s="4">
        <v>44208</v>
      </c>
      <c r="F154" s="5" t="s">
        <v>160</v>
      </c>
      <c r="G154" s="49">
        <v>10</v>
      </c>
      <c r="H154" s="5"/>
      <c r="I154" s="5">
        <f>41/30*38</f>
        <v>51.933333333333337</v>
      </c>
      <c r="J154" s="5"/>
      <c r="K154" s="5"/>
      <c r="L154" s="6">
        <v>70</v>
      </c>
      <c r="M154" s="61">
        <v>45</v>
      </c>
      <c r="N154" s="5">
        <f>10+(60-45)*0.7</f>
        <v>20.5</v>
      </c>
      <c r="O154" s="1" t="s">
        <v>145</v>
      </c>
    </row>
    <row r="155" spans="1:16">
      <c r="A155" s="22" t="s">
        <v>108</v>
      </c>
      <c r="B155" s="22"/>
      <c r="C155" s="4">
        <v>44185</v>
      </c>
      <c r="D155" s="4"/>
      <c r="E155" s="4">
        <v>44242</v>
      </c>
      <c r="F155" s="5" t="s">
        <v>160</v>
      </c>
      <c r="G155" s="49">
        <v>20</v>
      </c>
      <c r="H155" s="5">
        <v>26.48</v>
      </c>
      <c r="I155" s="5">
        <f>50/30*55</f>
        <v>91.666666666666671</v>
      </c>
      <c r="J155" s="5">
        <v>160</v>
      </c>
      <c r="K155" s="5"/>
      <c r="L155" s="6">
        <v>190</v>
      </c>
      <c r="M155" s="61">
        <v>61</v>
      </c>
      <c r="N155" s="5">
        <f>(20+(170-61)*0.7)</f>
        <v>96.3</v>
      </c>
      <c r="O155" s="1" t="s">
        <v>145</v>
      </c>
    </row>
    <row r="156" spans="1:16">
      <c r="A156" s="22" t="s">
        <v>109</v>
      </c>
      <c r="B156" s="22"/>
      <c r="C156" s="4">
        <v>44209</v>
      </c>
      <c r="D156" s="4"/>
      <c r="E156" s="4">
        <v>44250</v>
      </c>
      <c r="F156" s="5" t="s">
        <v>160</v>
      </c>
      <c r="G156" s="49">
        <v>22.5</v>
      </c>
      <c r="H156" s="5">
        <v>22.83</v>
      </c>
      <c r="I156" s="5">
        <f>100/30*40</f>
        <v>133.33333333333334</v>
      </c>
      <c r="J156" s="5">
        <v>125</v>
      </c>
      <c r="K156" s="5"/>
      <c r="L156" s="6">
        <v>210</v>
      </c>
      <c r="M156" s="61">
        <v>100</v>
      </c>
      <c r="N156" s="6">
        <f>(22.5+87.5*0.7)</f>
        <v>83.75</v>
      </c>
    </row>
    <row r="157" spans="1:16">
      <c r="A157" s="2" t="s">
        <v>113</v>
      </c>
      <c r="B157" s="2"/>
      <c r="C157" s="4">
        <v>44245</v>
      </c>
      <c r="D157" s="4"/>
      <c r="E157" s="4">
        <v>44271</v>
      </c>
      <c r="F157" s="5" t="s">
        <v>160</v>
      </c>
      <c r="G157" s="49">
        <v>15</v>
      </c>
      <c r="H157" s="5">
        <v>26.76</v>
      </c>
      <c r="I157" s="5">
        <f>67/30*28</f>
        <v>62.533333333333331</v>
      </c>
      <c r="J157" s="5"/>
      <c r="K157" s="5"/>
      <c r="L157" s="6">
        <v>140</v>
      </c>
      <c r="M157" s="61">
        <v>67</v>
      </c>
      <c r="N157" s="6">
        <f>(15+0.7*58)</f>
        <v>55.599999999999994</v>
      </c>
    </row>
    <row r="158" spans="1:16">
      <c r="A158" s="2" t="s">
        <v>114</v>
      </c>
      <c r="B158" s="2"/>
      <c r="C158" s="4">
        <v>44222</v>
      </c>
      <c r="D158" s="4"/>
      <c r="E158" s="4">
        <v>44279</v>
      </c>
      <c r="F158" s="5" t="s">
        <v>160</v>
      </c>
      <c r="G158" s="49">
        <v>12.5</v>
      </c>
      <c r="H158" s="5">
        <v>13.4</v>
      </c>
      <c r="I158" s="5">
        <f>56/30*58</f>
        <v>108.26666666666667</v>
      </c>
      <c r="J158" s="5">
        <v>100</v>
      </c>
      <c r="K158" s="5"/>
      <c r="L158" s="6">
        <v>140</v>
      </c>
      <c r="M158" s="61">
        <v>56</v>
      </c>
      <c r="N158" s="5">
        <f>(12.5+71.5*0.7)</f>
        <v>62.55</v>
      </c>
      <c r="O158" s="1" t="s">
        <v>145</v>
      </c>
    </row>
    <row r="159" spans="1:16">
      <c r="A159" s="2" t="s">
        <v>112</v>
      </c>
      <c r="B159" s="2"/>
      <c r="C159" s="4">
        <v>44270</v>
      </c>
      <c r="D159" s="4"/>
      <c r="E159" s="4">
        <v>44286</v>
      </c>
      <c r="F159" s="5" t="s">
        <v>160</v>
      </c>
      <c r="G159" s="49">
        <v>17.5</v>
      </c>
      <c r="H159" s="5">
        <v>31.96</v>
      </c>
      <c r="I159" s="5">
        <f>55/30*16</f>
        <v>29.333333333333332</v>
      </c>
      <c r="J159" s="5">
        <v>75</v>
      </c>
      <c r="K159" s="5"/>
      <c r="L159" s="6">
        <v>100</v>
      </c>
      <c r="M159" s="61">
        <v>55</v>
      </c>
      <c r="N159" s="6">
        <f>(17.5+27.5*0.7)</f>
        <v>36.75</v>
      </c>
    </row>
    <row r="160" spans="1:16">
      <c r="A160" s="2" t="s">
        <v>119</v>
      </c>
      <c r="B160" s="2"/>
      <c r="C160" s="4">
        <v>44281</v>
      </c>
      <c r="D160" s="4"/>
      <c r="E160" s="4">
        <v>44316</v>
      </c>
      <c r="F160" s="40"/>
      <c r="G160" s="2"/>
      <c r="H160" s="5">
        <v>14.26</v>
      </c>
      <c r="I160" s="5">
        <f>45/30*34</f>
        <v>51</v>
      </c>
      <c r="J160" s="5"/>
      <c r="K160" s="5"/>
      <c r="L160" s="6">
        <v>110</v>
      </c>
      <c r="M160" s="61">
        <v>45</v>
      </c>
      <c r="N160" s="6">
        <f>(65*0.7)</f>
        <v>45.5</v>
      </c>
    </row>
    <row r="161" spans="1:15">
      <c r="A161" s="22" t="s">
        <v>121</v>
      </c>
      <c r="B161" s="22"/>
      <c r="C161" s="4">
        <v>44316</v>
      </c>
      <c r="D161" s="4"/>
      <c r="E161" s="4">
        <v>44354</v>
      </c>
      <c r="F161" s="40"/>
      <c r="G161" s="2"/>
      <c r="H161" s="5">
        <v>15.15</v>
      </c>
      <c r="I161" s="5">
        <f>36/30*37</f>
        <v>44.4</v>
      </c>
      <c r="J161" s="5"/>
      <c r="K161" s="5"/>
      <c r="L161" s="6">
        <v>110</v>
      </c>
      <c r="M161" s="61">
        <v>36</v>
      </c>
      <c r="N161" s="5">
        <f>(L161-M161)*0.7</f>
        <v>51.8</v>
      </c>
      <c r="O161" s="1" t="s">
        <v>145</v>
      </c>
    </row>
    <row r="162" spans="1:15">
      <c r="A162" s="22" t="s">
        <v>126</v>
      </c>
      <c r="B162" s="22"/>
      <c r="C162" s="4">
        <v>44336</v>
      </c>
      <c r="D162" s="4"/>
      <c r="E162" s="4">
        <v>44370</v>
      </c>
      <c r="F162" s="5" t="s">
        <v>161</v>
      </c>
      <c r="G162" s="49">
        <v>17.5</v>
      </c>
      <c r="H162" s="5">
        <v>35.78</v>
      </c>
      <c r="I162" s="5">
        <f>58/30*33</f>
        <v>63.8</v>
      </c>
      <c r="J162" s="5">
        <v>50</v>
      </c>
      <c r="K162" s="5"/>
      <c r="L162" s="6">
        <v>150</v>
      </c>
      <c r="M162" s="61">
        <v>58</v>
      </c>
      <c r="N162" s="6">
        <f>(17.5+74.5*0.7)</f>
        <v>69.650000000000006</v>
      </c>
    </row>
    <row r="163" spans="1:15">
      <c r="A163" s="44" t="s">
        <v>125</v>
      </c>
      <c r="B163" s="44"/>
      <c r="C163" s="4">
        <v>44342</v>
      </c>
      <c r="D163" s="4"/>
      <c r="E163" s="4">
        <v>44386</v>
      </c>
      <c r="F163" s="5" t="s">
        <v>160</v>
      </c>
      <c r="G163" s="49">
        <v>12.5</v>
      </c>
      <c r="H163" s="5">
        <v>15.46</v>
      </c>
      <c r="I163" s="5">
        <f>36/30*43</f>
        <v>51.6</v>
      </c>
      <c r="J163" s="5">
        <f>50+45</f>
        <v>95</v>
      </c>
      <c r="K163" s="5"/>
      <c r="L163" s="6">
        <v>80</v>
      </c>
      <c r="M163" s="61">
        <v>33</v>
      </c>
      <c r="N163" s="6">
        <f>12.5+(L163-M163-12.5)*0.7</f>
        <v>36.65</v>
      </c>
    </row>
    <row r="164" spans="1:15">
      <c r="A164" s="44" t="s">
        <v>129</v>
      </c>
      <c r="B164" s="44"/>
      <c r="C164" s="4">
        <v>44348</v>
      </c>
      <c r="D164" s="4"/>
      <c r="E164" s="4">
        <v>44389</v>
      </c>
      <c r="F164" s="5" t="s">
        <v>160</v>
      </c>
      <c r="G164" s="49">
        <v>12.5</v>
      </c>
      <c r="H164" s="5">
        <v>26.22</v>
      </c>
      <c r="I164" s="5">
        <f>71/30*42</f>
        <v>99.4</v>
      </c>
      <c r="J164" s="5">
        <f>50+45</f>
        <v>95</v>
      </c>
      <c r="K164" s="5"/>
      <c r="L164" s="6">
        <v>140</v>
      </c>
      <c r="M164" s="61">
        <v>71</v>
      </c>
      <c r="N164" s="6">
        <f>(12.5+(127.5-71)*0.7)</f>
        <v>52.05</v>
      </c>
    </row>
    <row r="165" spans="1:15">
      <c r="A165" s="44" t="s">
        <v>124</v>
      </c>
      <c r="B165" s="44"/>
      <c r="C165" s="4">
        <v>44348</v>
      </c>
      <c r="D165" s="4"/>
      <c r="E165" s="4">
        <v>44389</v>
      </c>
      <c r="F165" s="40"/>
      <c r="G165" s="2"/>
      <c r="H165" s="5">
        <v>11.62</v>
      </c>
      <c r="I165" s="5">
        <f>26/30*42</f>
        <v>36.4</v>
      </c>
      <c r="J165" s="5">
        <v>65</v>
      </c>
      <c r="K165" s="5"/>
      <c r="L165" s="6">
        <v>70</v>
      </c>
      <c r="M165" s="61">
        <v>26</v>
      </c>
      <c r="N165" s="6">
        <f>(70-26)*0.7</f>
        <v>30.799999999999997</v>
      </c>
    </row>
    <row r="166" spans="1:15">
      <c r="A166" s="44" t="s">
        <v>132</v>
      </c>
      <c r="B166" s="44"/>
      <c r="C166" s="4">
        <v>44407</v>
      </c>
      <c r="D166" s="4"/>
      <c r="E166" s="4">
        <v>44461</v>
      </c>
      <c r="F166" s="40"/>
      <c r="G166" s="2"/>
      <c r="H166" s="5">
        <v>9.8800000000000008</v>
      </c>
      <c r="I166" s="5">
        <f>25/30*52</f>
        <v>43.333333333333336</v>
      </c>
      <c r="J166" s="5"/>
      <c r="K166" s="5"/>
      <c r="L166" s="6">
        <v>70</v>
      </c>
      <c r="M166" s="61">
        <v>25</v>
      </c>
      <c r="N166" s="6">
        <f>45*0.7</f>
        <v>31.499999999999996</v>
      </c>
    </row>
    <row r="167" spans="1:15">
      <c r="A167" s="44" t="s">
        <v>133</v>
      </c>
      <c r="B167" s="44"/>
      <c r="C167" s="4">
        <v>44432</v>
      </c>
      <c r="D167" s="4"/>
      <c r="E167" s="4">
        <v>44467</v>
      </c>
      <c r="F167" s="40"/>
      <c r="G167" s="2"/>
      <c r="H167" s="5">
        <v>9.8800000000000008</v>
      </c>
      <c r="I167" s="5">
        <f>25/30*34</f>
        <v>28.333333333333336</v>
      </c>
      <c r="J167" s="5"/>
      <c r="K167" s="5"/>
      <c r="L167" s="6">
        <v>70</v>
      </c>
      <c r="M167" s="61">
        <v>25</v>
      </c>
      <c r="N167" s="6">
        <f>45*0.7</f>
        <v>31.499999999999996</v>
      </c>
    </row>
    <row r="168" spans="1:15">
      <c r="A168" s="44" t="s">
        <v>141</v>
      </c>
      <c r="B168" s="44"/>
      <c r="C168" s="35">
        <v>44459</v>
      </c>
      <c r="D168" s="35"/>
      <c r="E168" s="35">
        <v>44481</v>
      </c>
      <c r="F168" s="10" t="s">
        <v>161</v>
      </c>
      <c r="G168" s="12">
        <v>10</v>
      </c>
      <c r="H168" s="5">
        <v>15.15</v>
      </c>
      <c r="I168" s="5">
        <f>46/30*22</f>
        <v>33.733333333333334</v>
      </c>
      <c r="J168" s="5">
        <v>80</v>
      </c>
      <c r="K168" s="5"/>
      <c r="L168" s="6">
        <v>120</v>
      </c>
      <c r="M168" s="61">
        <v>46</v>
      </c>
      <c r="N168" s="6">
        <f>10+(120-56)*0.7</f>
        <v>54.8</v>
      </c>
    </row>
    <row r="169" spans="1:15">
      <c r="A169" s="76" t="s">
        <v>140</v>
      </c>
      <c r="B169" s="76"/>
      <c r="C169" s="36">
        <v>44449</v>
      </c>
      <c r="D169" s="36"/>
      <c r="E169" s="36">
        <v>44482</v>
      </c>
      <c r="F169" s="16" t="s">
        <v>160</v>
      </c>
      <c r="G169" s="1">
        <v>10</v>
      </c>
      <c r="H169" s="16">
        <v>13.4</v>
      </c>
      <c r="I169" s="16">
        <f>60/30*33</f>
        <v>66</v>
      </c>
      <c r="J169" s="16">
        <v>80</v>
      </c>
      <c r="K169" s="16"/>
      <c r="L169" s="17">
        <v>120</v>
      </c>
      <c r="M169" s="62">
        <v>61</v>
      </c>
      <c r="N169" s="18">
        <f>(10+49*0.7)</f>
        <v>44.3</v>
      </c>
    </row>
    <row r="170" spans="1:15">
      <c r="A170" s="76" t="s">
        <v>137</v>
      </c>
      <c r="B170" s="76"/>
      <c r="C170" s="36">
        <v>44474</v>
      </c>
      <c r="D170" s="36"/>
      <c r="E170" s="36">
        <v>44487</v>
      </c>
      <c r="F170" s="72" t="s">
        <v>161</v>
      </c>
      <c r="G170" s="79">
        <v>12.5</v>
      </c>
      <c r="H170" s="16">
        <v>15.15</v>
      </c>
      <c r="I170" s="16">
        <f>71/30*13</f>
        <v>30.766666666666666</v>
      </c>
      <c r="J170" s="16">
        <v>95</v>
      </c>
      <c r="K170" s="16"/>
      <c r="L170" s="17">
        <v>140</v>
      </c>
      <c r="M170" s="62">
        <v>71</v>
      </c>
      <c r="N170" s="18">
        <f>12.5+(56.5)*0.7</f>
        <v>52.05</v>
      </c>
    </row>
    <row r="171" spans="1:15">
      <c r="A171" s="76" t="s">
        <v>143</v>
      </c>
      <c r="B171" s="76"/>
      <c r="C171" s="36">
        <v>43717</v>
      </c>
      <c r="D171" s="36"/>
      <c r="E171" s="36">
        <v>44505</v>
      </c>
      <c r="F171" s="71"/>
      <c r="G171" s="1"/>
      <c r="H171" s="16">
        <v>13.4</v>
      </c>
      <c r="I171" s="16">
        <f>36*25+36/30*26</f>
        <v>931.2</v>
      </c>
      <c r="J171" s="16"/>
      <c r="K171" s="16"/>
      <c r="L171" s="17">
        <v>100</v>
      </c>
      <c r="M171" s="62">
        <v>36</v>
      </c>
      <c r="N171" s="18">
        <f>(100-36)*0.7</f>
        <v>44.8</v>
      </c>
    </row>
    <row r="172" spans="1:15">
      <c r="A172" s="76" t="s">
        <v>139</v>
      </c>
      <c r="B172" s="76"/>
      <c r="C172" s="36">
        <v>44492</v>
      </c>
      <c r="D172" s="36"/>
      <c r="E172" s="36">
        <v>44539</v>
      </c>
      <c r="F172" s="71"/>
      <c r="G172" s="1"/>
      <c r="H172" s="16">
        <v>16.350000000000001</v>
      </c>
      <c r="I172" s="16">
        <f>71/30*46</f>
        <v>108.86666666666667</v>
      </c>
      <c r="J172" s="16">
        <v>95</v>
      </c>
      <c r="K172" s="16"/>
      <c r="L172" s="17">
        <v>140</v>
      </c>
      <c r="M172" s="81">
        <v>71</v>
      </c>
      <c r="N172" s="18">
        <f>(140-71)*0.7</f>
        <v>48.3</v>
      </c>
    </row>
    <row r="173" spans="1:15">
      <c r="A173" s="76" t="s">
        <v>144</v>
      </c>
      <c r="B173" s="76"/>
      <c r="C173" s="36">
        <v>44526</v>
      </c>
      <c r="D173" s="36"/>
      <c r="E173" s="36">
        <v>44550</v>
      </c>
      <c r="F173" s="16" t="s">
        <v>160</v>
      </c>
      <c r="G173" s="1">
        <v>12.5</v>
      </c>
      <c r="H173" s="16">
        <v>13.4</v>
      </c>
      <c r="I173" s="16">
        <f>83/30*24</f>
        <v>66.400000000000006</v>
      </c>
      <c r="J173" s="16"/>
      <c r="K173" s="16"/>
      <c r="L173" s="17">
        <v>160</v>
      </c>
      <c r="M173" s="81">
        <v>94</v>
      </c>
      <c r="N173" s="33">
        <f>12.5+(160-12.5-94)*0.7</f>
        <v>49.949999999999996</v>
      </c>
    </row>
    <row r="174" spans="1:15">
      <c r="A174" s="76" t="s">
        <v>149</v>
      </c>
      <c r="B174" s="76"/>
      <c r="C174" s="36">
        <v>44880</v>
      </c>
      <c r="D174" s="36"/>
      <c r="E174" s="36">
        <v>44575</v>
      </c>
      <c r="F174" s="71"/>
      <c r="G174" s="1"/>
      <c r="H174" s="16">
        <v>13.4</v>
      </c>
      <c r="I174" s="16"/>
      <c r="J174" s="16">
        <v>50</v>
      </c>
      <c r="K174" s="16"/>
      <c r="L174" s="17">
        <v>140</v>
      </c>
      <c r="M174" s="81">
        <f>71</f>
        <v>71</v>
      </c>
      <c r="N174" s="18">
        <f>(140-71)*0.7</f>
        <v>48.3</v>
      </c>
    </row>
    <row r="175" spans="1:15">
      <c r="A175" s="76" t="s">
        <v>146</v>
      </c>
      <c r="B175" s="76"/>
      <c r="C175" s="15">
        <v>44586</v>
      </c>
      <c r="D175" s="15"/>
      <c r="E175" s="15">
        <v>44615</v>
      </c>
      <c r="F175" s="72" t="s">
        <v>161</v>
      </c>
      <c r="G175" s="79">
        <v>12.5</v>
      </c>
      <c r="H175" s="16">
        <v>15.46</v>
      </c>
      <c r="I175" s="16">
        <f>27/30*28</f>
        <v>25.2</v>
      </c>
      <c r="J175" s="16">
        <v>110</v>
      </c>
      <c r="K175" s="16"/>
      <c r="L175" s="17">
        <v>124</v>
      </c>
      <c r="M175" s="81">
        <v>51</v>
      </c>
      <c r="N175" s="18">
        <f>12.5+(124-63.5)*0.7</f>
        <v>54.849999999999994</v>
      </c>
    </row>
    <row r="176" spans="1:15">
      <c r="A176" s="76" t="s">
        <v>148</v>
      </c>
      <c r="B176" s="76"/>
      <c r="C176" s="15">
        <v>44579</v>
      </c>
      <c r="D176" s="15"/>
      <c r="E176" s="15">
        <v>44594</v>
      </c>
      <c r="F176" s="71"/>
      <c r="G176" s="1"/>
      <c r="H176" s="16">
        <v>13.4</v>
      </c>
      <c r="I176" s="16">
        <f>22/30*14</f>
        <v>10.266666666666666</v>
      </c>
      <c r="J176" s="16">
        <v>30</v>
      </c>
      <c r="K176" s="16"/>
      <c r="L176" s="17">
        <v>50</v>
      </c>
      <c r="M176" s="81">
        <v>22</v>
      </c>
      <c r="N176" s="18">
        <f>(50-22)*0.7</f>
        <v>19.599999999999998</v>
      </c>
    </row>
    <row r="177" spans="1:14">
      <c r="A177" s="76" t="s">
        <v>150</v>
      </c>
      <c r="B177" s="76"/>
      <c r="C177" s="15">
        <v>44899</v>
      </c>
      <c r="D177" s="15"/>
      <c r="E177" s="15">
        <v>44607</v>
      </c>
      <c r="F177" s="79" t="s">
        <v>160</v>
      </c>
      <c r="G177" s="79">
        <v>12.5</v>
      </c>
      <c r="H177" s="16">
        <v>13.4</v>
      </c>
      <c r="I177" s="16">
        <f>71/30*61</f>
        <v>144.36666666666667</v>
      </c>
      <c r="J177" s="16">
        <v>80</v>
      </c>
      <c r="K177" s="16"/>
      <c r="L177" s="17">
        <v>120</v>
      </c>
      <c r="M177" s="81">
        <v>60</v>
      </c>
      <c r="N177" s="18">
        <f>12.5+(120-72.5)*0.7</f>
        <v>45.75</v>
      </c>
    </row>
    <row r="178" spans="1:14">
      <c r="A178" s="76" t="s">
        <v>151</v>
      </c>
      <c r="B178" s="76"/>
      <c r="C178" s="15">
        <v>44926</v>
      </c>
      <c r="D178" s="15"/>
      <c r="E178" s="15">
        <v>44649</v>
      </c>
      <c r="F178" s="71"/>
      <c r="G178" s="71"/>
      <c r="H178" s="16">
        <v>9.0299999999999994</v>
      </c>
      <c r="I178" s="16">
        <f>25*2+25/30*29</f>
        <v>74.166666666666671</v>
      </c>
      <c r="J178" s="16">
        <v>80</v>
      </c>
      <c r="K178" s="16"/>
      <c r="L178" s="17">
        <v>67.5</v>
      </c>
      <c r="M178" s="81">
        <v>25</v>
      </c>
      <c r="N178" s="18">
        <f>(67.5-25)*0.7</f>
        <v>29.749999999999996</v>
      </c>
    </row>
    <row r="179" spans="1:14">
      <c r="A179" s="76" t="s">
        <v>152</v>
      </c>
      <c r="B179" s="76"/>
      <c r="C179" s="15">
        <v>44852</v>
      </c>
      <c r="D179" s="15"/>
      <c r="E179" s="15">
        <v>44649</v>
      </c>
      <c r="F179" s="71"/>
      <c r="G179" s="71"/>
      <c r="H179" s="16">
        <v>9.0299999999999994</v>
      </c>
      <c r="I179" s="16">
        <f>45*4+45/30*13</f>
        <v>199.5</v>
      </c>
      <c r="J179" s="16">
        <v>80</v>
      </c>
      <c r="K179" s="16"/>
      <c r="L179" s="17">
        <v>67.5</v>
      </c>
      <c r="M179" s="81">
        <v>45</v>
      </c>
      <c r="N179" s="18">
        <f>(L179-M179)*0.7</f>
        <v>15.749999999999998</v>
      </c>
    </row>
    <row r="180" spans="1:14">
      <c r="A180" s="76" t="s">
        <v>153</v>
      </c>
      <c r="B180" s="76"/>
      <c r="C180" s="15">
        <v>44623</v>
      </c>
      <c r="D180" s="15"/>
      <c r="E180" s="15">
        <v>44623</v>
      </c>
      <c r="F180" s="71"/>
      <c r="G180" s="71"/>
      <c r="H180" s="16">
        <v>11.03</v>
      </c>
      <c r="I180" s="16">
        <v>0</v>
      </c>
      <c r="J180" s="16">
        <v>15</v>
      </c>
      <c r="K180" s="16"/>
      <c r="L180" s="17">
        <v>30</v>
      </c>
      <c r="M180" s="81">
        <v>12</v>
      </c>
      <c r="N180" s="18">
        <f>(L180-M180)*0.7</f>
        <v>12.6</v>
      </c>
    </row>
    <row r="181" spans="1:14">
      <c r="A181" s="76" t="s">
        <v>154</v>
      </c>
      <c r="B181" s="76"/>
      <c r="C181" s="15">
        <v>44881</v>
      </c>
      <c r="D181" s="15"/>
      <c r="E181" s="15">
        <v>44628</v>
      </c>
      <c r="F181" s="71"/>
      <c r="G181" s="71"/>
      <c r="H181" s="16">
        <v>9.0299999999999994</v>
      </c>
      <c r="I181" s="16">
        <f>65*3+65/30*22</f>
        <v>242.66666666666666</v>
      </c>
      <c r="J181" s="16">
        <v>95</v>
      </c>
      <c r="K181" s="16"/>
      <c r="L181" s="17">
        <v>112</v>
      </c>
      <c r="M181" s="81">
        <v>65</v>
      </c>
      <c r="N181" s="18">
        <f>(L181-M181)*0.7</f>
        <v>32.9</v>
      </c>
    </row>
    <row r="182" spans="1:14">
      <c r="A182" s="76" t="s">
        <v>155</v>
      </c>
      <c r="B182" s="76"/>
      <c r="C182" s="15">
        <v>44490</v>
      </c>
      <c r="D182" s="15"/>
      <c r="E182" s="15">
        <v>44648</v>
      </c>
      <c r="F182" s="71"/>
      <c r="G182" s="71"/>
      <c r="H182" s="16">
        <v>13.4</v>
      </c>
      <c r="I182" s="16">
        <f>45*5+45/30*7</f>
        <v>235.5</v>
      </c>
      <c r="J182" s="16">
        <v>80</v>
      </c>
      <c r="K182" s="16"/>
      <c r="L182" s="17">
        <v>67.5</v>
      </c>
      <c r="M182" s="81">
        <v>45</v>
      </c>
      <c r="N182" s="18">
        <f>(L182-M182)*0.7</f>
        <v>15.749999999999998</v>
      </c>
    </row>
    <row r="183" spans="1:14">
      <c r="A183" s="76" t="s">
        <v>156</v>
      </c>
      <c r="B183" s="76"/>
      <c r="C183" s="15">
        <v>44489</v>
      </c>
      <c r="D183" s="15"/>
      <c r="E183" s="15">
        <v>44651</v>
      </c>
      <c r="F183" s="71"/>
      <c r="G183" s="71"/>
      <c r="H183" s="16">
        <v>15.46</v>
      </c>
      <c r="I183" s="16">
        <f>50*5+50/10</f>
        <v>255</v>
      </c>
      <c r="J183" s="16">
        <v>145</v>
      </c>
      <c r="K183" s="16"/>
      <c r="L183" s="17">
        <v>125</v>
      </c>
      <c r="M183" s="81">
        <v>50</v>
      </c>
      <c r="N183" s="18">
        <f>(L183-M183)*0.7</f>
        <v>52.5</v>
      </c>
    </row>
    <row r="184" spans="1:14">
      <c r="A184" s="76" t="s">
        <v>157</v>
      </c>
      <c r="B184" s="76"/>
      <c r="C184" s="15">
        <v>44627</v>
      </c>
      <c r="D184" s="15"/>
      <c r="E184" s="15">
        <v>44627</v>
      </c>
      <c r="F184" s="72" t="s">
        <v>161</v>
      </c>
      <c r="G184" s="79">
        <v>10</v>
      </c>
      <c r="H184" s="16">
        <v>15.46</v>
      </c>
      <c r="I184" s="16">
        <v>0</v>
      </c>
      <c r="J184" s="16">
        <v>0</v>
      </c>
      <c r="K184" s="16"/>
      <c r="L184" s="17">
        <v>100</v>
      </c>
      <c r="M184" s="81">
        <v>44</v>
      </c>
      <c r="N184" s="18">
        <f>10+(46)*0.7</f>
        <v>42.199999999999996</v>
      </c>
    </row>
    <row r="185" spans="1:14">
      <c r="A185" s="76" t="s">
        <v>158</v>
      </c>
      <c r="B185" s="76"/>
      <c r="C185" s="15">
        <v>44627</v>
      </c>
      <c r="D185" s="15"/>
      <c r="E185" s="15">
        <v>44627</v>
      </c>
      <c r="F185" s="72" t="s">
        <v>161</v>
      </c>
      <c r="G185" s="79">
        <v>12.5</v>
      </c>
      <c r="H185" s="16">
        <v>15.46</v>
      </c>
      <c r="I185" s="16">
        <v>0</v>
      </c>
      <c r="J185" s="16">
        <v>0</v>
      </c>
      <c r="K185" s="16"/>
      <c r="L185" s="17">
        <v>125</v>
      </c>
      <c r="M185" s="81">
        <v>55</v>
      </c>
      <c r="N185" s="18">
        <f>12.5+(57.5)*0.7</f>
        <v>52.75</v>
      </c>
    </row>
    <row r="186" spans="1:14">
      <c r="A186" s="76" t="s">
        <v>168</v>
      </c>
      <c r="B186" s="76"/>
      <c r="C186" s="15">
        <v>44636</v>
      </c>
      <c r="D186" s="15"/>
      <c r="E186" s="15">
        <v>44659</v>
      </c>
      <c r="F186" s="71"/>
      <c r="G186" s="16"/>
      <c r="H186" s="16">
        <v>13.72</v>
      </c>
      <c r="I186" s="16">
        <f>55/30*24</f>
        <v>44</v>
      </c>
      <c r="J186" s="16">
        <v>80</v>
      </c>
      <c r="K186" s="16"/>
      <c r="L186" s="17">
        <v>120</v>
      </c>
      <c r="M186" s="81">
        <v>55</v>
      </c>
      <c r="N186" s="18">
        <f>10+(110-M186)*0.7</f>
        <v>48.5</v>
      </c>
    </row>
    <row r="187" spans="1:14">
      <c r="A187" s="76" t="s">
        <v>171</v>
      </c>
      <c r="B187" s="76"/>
      <c r="C187" s="15">
        <v>44648</v>
      </c>
      <c r="D187" s="15"/>
      <c r="E187" s="15">
        <v>44734</v>
      </c>
      <c r="F187" s="71"/>
      <c r="G187" s="16"/>
      <c r="H187" s="16">
        <v>13.72</v>
      </c>
      <c r="I187" s="16">
        <f>56/30*84</f>
        <v>156.80000000000001</v>
      </c>
      <c r="J187" s="16">
        <v>95</v>
      </c>
      <c r="K187" s="16"/>
      <c r="L187" s="17">
        <v>140</v>
      </c>
      <c r="M187" s="81">
        <v>56</v>
      </c>
      <c r="N187" s="18">
        <f>(140-56)*0.7</f>
        <v>58.8</v>
      </c>
    </row>
    <row r="188" spans="1:14">
      <c r="A188" s="76" t="s">
        <v>172</v>
      </c>
      <c r="B188" s="76"/>
      <c r="C188" s="15">
        <v>44705</v>
      </c>
      <c r="D188" s="15"/>
      <c r="E188" s="15">
        <v>44715</v>
      </c>
      <c r="F188" s="71"/>
      <c r="G188" s="16"/>
      <c r="H188" s="16">
        <v>10.039999999999999</v>
      </c>
      <c r="I188" s="16">
        <f>25/30*9</f>
        <v>7.5</v>
      </c>
      <c r="J188" s="16"/>
      <c r="K188" s="16"/>
      <c r="L188" s="17">
        <v>50</v>
      </c>
      <c r="M188" s="81">
        <v>25</v>
      </c>
      <c r="N188" s="18">
        <f>(50-25)*0.7</f>
        <v>17.5</v>
      </c>
    </row>
    <row r="189" spans="1:14">
      <c r="A189" s="76" t="s">
        <v>173</v>
      </c>
      <c r="B189" s="76"/>
      <c r="C189" s="15">
        <v>44704</v>
      </c>
      <c r="D189" s="15"/>
      <c r="E189" s="15">
        <v>44721</v>
      </c>
      <c r="F189" s="72" t="s">
        <v>161</v>
      </c>
      <c r="G189" s="80">
        <v>12.5</v>
      </c>
      <c r="H189" s="16">
        <v>13.72</v>
      </c>
      <c r="I189" s="16">
        <f>37/30*16</f>
        <v>19.733333333333334</v>
      </c>
      <c r="J189" s="16">
        <f>50+45</f>
        <v>95</v>
      </c>
      <c r="K189" s="16"/>
      <c r="L189" s="17">
        <v>110</v>
      </c>
      <c r="M189" s="81">
        <v>37</v>
      </c>
      <c r="N189" s="84">
        <f>12.5+(97.5-37)*0.7</f>
        <v>54.849999999999994</v>
      </c>
    </row>
    <row r="190" spans="1:14">
      <c r="A190" s="76" t="s">
        <v>174</v>
      </c>
      <c r="B190" s="76"/>
      <c r="C190" s="15">
        <v>44715</v>
      </c>
      <c r="D190" s="15"/>
      <c r="E190" s="15">
        <v>44820</v>
      </c>
      <c r="F190" s="72" t="s">
        <v>161</v>
      </c>
      <c r="G190" s="80">
        <v>15</v>
      </c>
      <c r="H190" s="16">
        <v>14.6</v>
      </c>
      <c r="I190" s="16">
        <f>56/30*103</f>
        <v>192.26666666666668</v>
      </c>
      <c r="J190" s="16">
        <v>50</v>
      </c>
      <c r="K190" s="16"/>
      <c r="L190" s="17">
        <f>130</f>
        <v>130</v>
      </c>
      <c r="M190" s="81">
        <v>56</v>
      </c>
      <c r="N190" s="84">
        <f>15+(115-56)*0.7</f>
        <v>56.3</v>
      </c>
    </row>
    <row r="191" spans="1:14">
      <c r="A191" s="76" t="s">
        <v>183</v>
      </c>
      <c r="B191" s="76"/>
      <c r="C191" s="15">
        <v>44749</v>
      </c>
      <c r="D191" s="15">
        <v>44830</v>
      </c>
      <c r="E191" s="15">
        <v>44858</v>
      </c>
      <c r="F191" s="71"/>
      <c r="G191" s="16"/>
      <c r="H191" s="16">
        <v>11.03</v>
      </c>
      <c r="I191" s="16">
        <v>25</v>
      </c>
      <c r="J191" s="16">
        <v>15</v>
      </c>
      <c r="K191" s="16"/>
      <c r="L191" s="17">
        <v>80</v>
      </c>
      <c r="M191" s="81">
        <v>25</v>
      </c>
      <c r="N191" s="18">
        <f>55*0.7</f>
        <v>38.5</v>
      </c>
    </row>
    <row r="192" spans="1:14">
      <c r="A192" s="76" t="s">
        <v>184</v>
      </c>
      <c r="B192" s="76"/>
      <c r="C192" s="15">
        <v>44775</v>
      </c>
      <c r="D192" s="15">
        <v>44810</v>
      </c>
      <c r="E192" s="15">
        <v>44848</v>
      </c>
      <c r="F192" s="71"/>
      <c r="G192" s="16"/>
      <c r="H192" s="16">
        <v>23.38</v>
      </c>
      <c r="I192" s="16">
        <f>100/30*38</f>
        <v>126.66666666666667</v>
      </c>
      <c r="J192" s="16">
        <v>155</v>
      </c>
      <c r="K192" s="16"/>
      <c r="L192" s="17">
        <v>220</v>
      </c>
      <c r="M192" s="81">
        <v>100</v>
      </c>
      <c r="N192" s="18">
        <f>(L192-M192)*0.7</f>
        <v>84</v>
      </c>
    </row>
    <row r="193" spans="1:15">
      <c r="A193" s="76" t="s">
        <v>185</v>
      </c>
      <c r="B193" s="76"/>
      <c r="C193" s="15">
        <v>44830</v>
      </c>
      <c r="D193" s="15">
        <v>44852</v>
      </c>
      <c r="E193" s="15">
        <v>44858</v>
      </c>
      <c r="F193" s="72" t="s">
        <v>161</v>
      </c>
      <c r="G193" s="79">
        <v>12.5</v>
      </c>
      <c r="H193" s="16">
        <v>23.38</v>
      </c>
      <c r="I193" s="16">
        <f>54.5/30*6</f>
        <v>10.9</v>
      </c>
      <c r="J193" s="16">
        <v>95</v>
      </c>
      <c r="K193" s="16"/>
      <c r="L193" s="17">
        <v>140</v>
      </c>
      <c r="M193" s="81">
        <v>55.5</v>
      </c>
      <c r="N193" s="18">
        <f>12.5+(127.5-55.5)*0.7</f>
        <v>62.9</v>
      </c>
    </row>
    <row r="194" spans="1:15">
      <c r="A194" s="76" t="s">
        <v>190</v>
      </c>
      <c r="B194" s="76"/>
      <c r="C194" s="15"/>
      <c r="D194" s="15">
        <v>44879</v>
      </c>
      <c r="E194" s="36">
        <v>44887</v>
      </c>
      <c r="F194" s="76" t="s">
        <v>161</v>
      </c>
      <c r="G194" s="80">
        <v>10</v>
      </c>
      <c r="H194" s="16">
        <v>14.6</v>
      </c>
      <c r="I194" s="16">
        <f>34/30*8</f>
        <v>9.0666666666666664</v>
      </c>
      <c r="J194" s="16">
        <v>45</v>
      </c>
      <c r="K194" s="16"/>
      <c r="L194" s="17">
        <v>90</v>
      </c>
      <c r="M194" s="81">
        <v>34</v>
      </c>
      <c r="N194" s="84">
        <f>10+(80-34)*0.7</f>
        <v>42.199999999999996</v>
      </c>
    </row>
    <row r="195" spans="1:15">
      <c r="A195" s="76" t="s">
        <v>193</v>
      </c>
      <c r="B195" s="76"/>
      <c r="C195" s="15">
        <v>44872</v>
      </c>
      <c r="D195" s="15">
        <v>44879</v>
      </c>
      <c r="E195" s="36">
        <v>44882</v>
      </c>
      <c r="F195" s="71"/>
      <c r="G195" s="16"/>
      <c r="H195" s="16">
        <v>10.039999999999999</v>
      </c>
      <c r="I195" s="16">
        <f>25/30*3</f>
        <v>2.5</v>
      </c>
      <c r="J195" s="16"/>
      <c r="K195" s="16"/>
      <c r="L195" s="17">
        <v>40</v>
      </c>
      <c r="M195" s="81">
        <v>25</v>
      </c>
      <c r="N195" s="18">
        <f>(L195-M195)*0.7</f>
        <v>10.5</v>
      </c>
    </row>
    <row r="196" spans="1:15">
      <c r="A196" s="76" t="s">
        <v>213</v>
      </c>
      <c r="B196" s="76"/>
      <c r="C196" s="15">
        <v>44894</v>
      </c>
      <c r="D196" s="15">
        <v>44908</v>
      </c>
      <c r="E196" s="36">
        <v>44944</v>
      </c>
      <c r="F196" s="71" t="s">
        <v>161</v>
      </c>
      <c r="G196" s="16">
        <v>15</v>
      </c>
      <c r="H196" s="16">
        <v>31.72</v>
      </c>
      <c r="I196" s="16">
        <f>50/30*35</f>
        <v>58.333333333333336</v>
      </c>
      <c r="J196" s="16">
        <f>60+50</f>
        <v>110</v>
      </c>
      <c r="K196" s="16"/>
      <c r="L196" s="17">
        <v>130</v>
      </c>
      <c r="M196" s="81">
        <f>19+2+3.5*2+11*2</f>
        <v>50</v>
      </c>
      <c r="N196" s="33">
        <f>15+(115-M196)*0.7</f>
        <v>60.5</v>
      </c>
      <c r="O196" t="s">
        <v>274</v>
      </c>
    </row>
    <row r="197" spans="1:15">
      <c r="A197" s="76" t="s">
        <v>227</v>
      </c>
      <c r="B197" s="76"/>
      <c r="C197" s="15">
        <v>44949</v>
      </c>
      <c r="D197" s="15">
        <v>44953</v>
      </c>
      <c r="E197" s="36">
        <v>44966</v>
      </c>
      <c r="F197" s="71" t="s">
        <v>160</v>
      </c>
      <c r="G197" s="16">
        <v>15</v>
      </c>
      <c r="H197" s="16">
        <v>16.38</v>
      </c>
      <c r="I197" s="16">
        <f>61.5/30*12</f>
        <v>24.599999999999998</v>
      </c>
      <c r="J197" s="16">
        <f>50+60</f>
        <v>110</v>
      </c>
      <c r="K197" s="16"/>
      <c r="L197" s="17">
        <v>160</v>
      </c>
      <c r="M197" s="82">
        <f>32.5+7+22</f>
        <v>61.5</v>
      </c>
      <c r="N197" s="89">
        <f>15+(L197-M197-15)*0.7</f>
        <v>73.449999999999989</v>
      </c>
    </row>
    <row r="198" spans="1:15">
      <c r="A198" s="76" t="s">
        <v>228</v>
      </c>
      <c r="B198" s="76"/>
      <c r="C198" s="15">
        <v>44957</v>
      </c>
      <c r="D198" s="15">
        <v>44957</v>
      </c>
      <c r="E198" s="36">
        <v>44977</v>
      </c>
      <c r="F198" s="71"/>
      <c r="G198" s="16"/>
      <c r="H198" s="16">
        <v>20.61</v>
      </c>
      <c r="I198" s="16">
        <f>66/30*20</f>
        <v>44</v>
      </c>
      <c r="J198" s="16">
        <v>90</v>
      </c>
      <c r="K198" s="16"/>
      <c r="L198" s="17">
        <v>155</v>
      </c>
      <c r="M198" s="82">
        <v>54</v>
      </c>
      <c r="N198" s="89">
        <f>(L198-M198)*0.7</f>
        <v>70.699999999999989</v>
      </c>
    </row>
    <row r="199" spans="1:15">
      <c r="A199" s="72" t="s">
        <v>255</v>
      </c>
      <c r="B199" s="72"/>
      <c r="C199" s="36">
        <v>44691</v>
      </c>
      <c r="D199" s="36">
        <v>44994</v>
      </c>
      <c r="E199" s="15">
        <v>410236</v>
      </c>
      <c r="F199" s="71"/>
      <c r="G199" s="71"/>
      <c r="H199" s="16">
        <v>11.03</v>
      </c>
      <c r="I199" s="71">
        <f>25*14</f>
        <v>350</v>
      </c>
      <c r="J199" s="71">
        <f>30+50</f>
        <v>80</v>
      </c>
      <c r="K199" s="71"/>
      <c r="L199" s="17">
        <v>90</v>
      </c>
      <c r="M199" s="17">
        <v>25</v>
      </c>
      <c r="N199" s="89">
        <f>(L199-M199)*0.7/30*21</f>
        <v>31.849999999999998</v>
      </c>
    </row>
    <row r="200" spans="1:15">
      <c r="A200" s="72" t="s">
        <v>90</v>
      </c>
      <c r="B200" s="72"/>
      <c r="C200" s="36"/>
      <c r="D200" s="36"/>
      <c r="E200" s="15">
        <v>45008</v>
      </c>
      <c r="F200" s="71"/>
      <c r="G200" s="71"/>
      <c r="H200" s="16">
        <v>22.79</v>
      </c>
      <c r="I200" s="71"/>
      <c r="J200" s="71"/>
      <c r="K200" s="71"/>
      <c r="L200" s="17">
        <v>30</v>
      </c>
      <c r="M200" s="17">
        <v>18</v>
      </c>
      <c r="N200" s="89">
        <f>(L200-M200)*0.8/30*7</f>
        <v>2.2400000000000002</v>
      </c>
    </row>
    <row r="201" spans="1:15">
      <c r="A201" s="72" t="s">
        <v>187</v>
      </c>
      <c r="B201" s="72"/>
      <c r="C201" s="36"/>
      <c r="D201" s="36">
        <v>44991</v>
      </c>
      <c r="E201" s="15">
        <v>44991</v>
      </c>
      <c r="F201" s="72" t="s">
        <v>160</v>
      </c>
      <c r="G201" s="79">
        <v>15</v>
      </c>
      <c r="H201" s="16">
        <v>13.31</v>
      </c>
      <c r="I201" s="71"/>
      <c r="J201" s="71">
        <v>45</v>
      </c>
      <c r="K201" s="71"/>
      <c r="L201" s="17">
        <v>80</v>
      </c>
      <c r="M201" s="17">
        <v>27</v>
      </c>
      <c r="N201" s="90">
        <f>15/30*24+(L201-M201)/30*24</f>
        <v>54.4</v>
      </c>
      <c r="O201" s="72" t="s">
        <v>273</v>
      </c>
    </row>
    <row r="202" spans="1:15">
      <c r="C202" s="36"/>
      <c r="D202" s="36"/>
      <c r="F202" s="28"/>
      <c r="G202" s="28"/>
      <c r="H202" s="30"/>
      <c r="I202" s="28"/>
      <c r="M202" s="68" t="s">
        <v>4</v>
      </c>
      <c r="N202" s="18">
        <f>SUM(N2:N199)</f>
        <v>7654.8868333333403</v>
      </c>
    </row>
    <row r="203" spans="1:15">
      <c r="C203" s="36"/>
      <c r="D203" s="36"/>
      <c r="F203" s="28"/>
      <c r="G203" s="28"/>
      <c r="H203" s="30"/>
      <c r="I203" s="28"/>
      <c r="M203" s="66" t="s">
        <v>251</v>
      </c>
      <c r="N203">
        <v>6440.52</v>
      </c>
    </row>
    <row r="204" spans="1:15">
      <c r="C204" s="36"/>
      <c r="D204" s="36"/>
      <c r="F204" s="28"/>
      <c r="G204" s="28"/>
      <c r="H204" s="30"/>
      <c r="I204" s="28"/>
    </row>
    <row r="205" spans="1:15">
      <c r="L205" t="s">
        <v>247</v>
      </c>
      <c r="M205" s="66">
        <v>11.87</v>
      </c>
    </row>
    <row r="206" spans="1:15">
      <c r="A206" s="28"/>
      <c r="B206" s="28"/>
      <c r="E206" s="15"/>
      <c r="F206" s="1"/>
      <c r="G206" s="1"/>
      <c r="H206" s="1"/>
      <c r="I206" s="1"/>
      <c r="J206" s="1"/>
      <c r="K206" s="1"/>
      <c r="L206" s="1" t="s">
        <v>248</v>
      </c>
      <c r="M206" s="67">
        <f>11*2.9</f>
        <v>31.9</v>
      </c>
      <c r="N206" s="29"/>
    </row>
    <row r="207" spans="1:15">
      <c r="L207" t="s">
        <v>249</v>
      </c>
      <c r="M207" s="66">
        <v>11.87</v>
      </c>
    </row>
    <row r="208" spans="1:15">
      <c r="H208" s="30"/>
      <c r="L208" t="s">
        <v>252</v>
      </c>
    </row>
    <row r="209" spans="9:12">
      <c r="I209" s="42"/>
      <c r="L209" t="s">
        <v>253</v>
      </c>
    </row>
    <row r="210" spans="9:12">
      <c r="L210" t="s">
        <v>269</v>
      </c>
    </row>
  </sheetData>
  <autoFilter ref="A1:P205">
    <sortState ref="A2:P92">
      <sortCondition ref="A1:A205"/>
    </sortState>
  </autoFilter>
  <pageMargins left="0.7" right="0.7" top="0.75" bottom="0.75" header="0.3" footer="0.3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>
  <sheetPr filterMode="1"/>
  <dimension ref="A1:P217"/>
  <sheetViews>
    <sheetView topLeftCell="C65" workbookViewId="0">
      <selection activeCell="M213" sqref="M213:N214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3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44" t="s">
        <v>64</v>
      </c>
      <c r="B2" s="44" t="s">
        <v>200</v>
      </c>
      <c r="C2" s="35"/>
      <c r="D2" s="35"/>
      <c r="E2" s="4">
        <v>44994</v>
      </c>
      <c r="F2" s="40"/>
      <c r="G2" s="40"/>
      <c r="H2" s="5"/>
      <c r="I2" s="40"/>
      <c r="J2" s="40">
        <f>6*2.9</f>
        <v>17.399999999999999</v>
      </c>
      <c r="K2" s="40"/>
      <c r="L2" s="6">
        <f>133.4</f>
        <v>133.4</v>
      </c>
      <c r="M2" s="6">
        <f>19.5*2+13.1+6.3+3.5</f>
        <v>61.9</v>
      </c>
      <c r="N2" s="59">
        <f t="shared" ref="N2:N22" si="0">(L2-M2)*0.8</f>
        <v>57.2</v>
      </c>
    </row>
    <row r="3" spans="1:15">
      <c r="A3" s="44" t="s">
        <v>149</v>
      </c>
      <c r="B3" s="44" t="s">
        <v>200</v>
      </c>
      <c r="C3" s="4"/>
      <c r="D3" s="4"/>
      <c r="E3" s="35">
        <v>44980</v>
      </c>
      <c r="F3" s="40"/>
      <c r="G3" s="5"/>
      <c r="H3" s="5"/>
      <c r="I3" s="5"/>
      <c r="J3" s="5">
        <f>2.9*9</f>
        <v>26.099999999999998</v>
      </c>
      <c r="K3" s="5"/>
      <c r="L3" s="6">
        <v>169.1</v>
      </c>
      <c r="M3" s="65">
        <f>80.65</f>
        <v>80.650000000000006</v>
      </c>
      <c r="N3" s="59">
        <f t="shared" si="0"/>
        <v>70.759999999999991</v>
      </c>
    </row>
    <row r="4" spans="1:15">
      <c r="A4" s="44" t="s">
        <v>190</v>
      </c>
      <c r="B4" s="44" t="s">
        <v>200</v>
      </c>
      <c r="C4" s="4"/>
      <c r="D4" s="4"/>
      <c r="E4" s="35">
        <v>44972</v>
      </c>
      <c r="F4" s="40"/>
      <c r="G4" s="5"/>
      <c r="H4" s="5"/>
      <c r="I4" s="5"/>
      <c r="J4" s="5">
        <f>2.9</f>
        <v>2.9</v>
      </c>
      <c r="K4" s="5"/>
      <c r="L4" s="6">
        <f>18.8</f>
        <v>18.8</v>
      </c>
      <c r="M4" s="65">
        <f>10.2</f>
        <v>10.199999999999999</v>
      </c>
      <c r="N4" s="59">
        <f t="shared" si="0"/>
        <v>6.8800000000000017</v>
      </c>
    </row>
    <row r="5" spans="1:15">
      <c r="A5" s="44" t="s">
        <v>239</v>
      </c>
      <c r="B5" s="44" t="s">
        <v>200</v>
      </c>
      <c r="C5" s="35"/>
      <c r="D5" s="35"/>
      <c r="E5" s="4">
        <v>44973</v>
      </c>
      <c r="F5" s="40"/>
      <c r="G5" s="40"/>
      <c r="H5" s="5"/>
      <c r="I5" s="40"/>
      <c r="J5" s="40">
        <f>48*2.9</f>
        <v>139.19999999999999</v>
      </c>
      <c r="K5" s="40"/>
      <c r="L5" s="6">
        <v>538.79999999999995</v>
      </c>
      <c r="M5" s="61">
        <f>2*7.9+43*4.5+2*13.1</f>
        <v>235.5</v>
      </c>
      <c r="N5" s="59">
        <f t="shared" si="0"/>
        <v>242.64</v>
      </c>
    </row>
    <row r="6" spans="1:15">
      <c r="A6" s="44" t="s">
        <v>235</v>
      </c>
      <c r="B6" s="44" t="s">
        <v>200</v>
      </c>
      <c r="C6" s="35"/>
      <c r="D6" s="35"/>
      <c r="E6" s="4">
        <v>44967</v>
      </c>
      <c r="F6" s="40"/>
      <c r="G6" s="40"/>
      <c r="H6" s="5"/>
      <c r="I6" s="40"/>
      <c r="J6" s="40">
        <v>255.2</v>
      </c>
      <c r="K6" s="40"/>
      <c r="L6" s="6">
        <v>352</v>
      </c>
      <c r="M6" s="61">
        <f>0.55*88</f>
        <v>48.400000000000006</v>
      </c>
      <c r="N6" s="59">
        <f t="shared" si="0"/>
        <v>242.88000000000002</v>
      </c>
    </row>
    <row r="7" spans="1:15">
      <c r="A7" s="44" t="s">
        <v>44</v>
      </c>
      <c r="B7" s="44" t="s">
        <v>200</v>
      </c>
      <c r="C7" s="35"/>
      <c r="D7" s="35"/>
      <c r="E7" s="4">
        <v>44985</v>
      </c>
      <c r="F7" s="40"/>
      <c r="G7" s="40"/>
      <c r="H7" s="5"/>
      <c r="I7" s="40"/>
      <c r="J7" s="40">
        <f>2.9*3</f>
        <v>8.6999999999999993</v>
      </c>
      <c r="K7" s="40"/>
      <c r="L7" s="6">
        <f>18.9*2+20.9</f>
        <v>58.699999999999996</v>
      </c>
      <c r="M7" s="61">
        <f>7.9*2+9.2</f>
        <v>25</v>
      </c>
      <c r="N7" s="59">
        <f t="shared" si="0"/>
        <v>26.959999999999997</v>
      </c>
    </row>
    <row r="8" spans="1:15">
      <c r="A8" s="44" t="s">
        <v>210</v>
      </c>
      <c r="B8" s="44" t="s">
        <v>200</v>
      </c>
      <c r="C8" s="4"/>
      <c r="D8" s="4">
        <v>44942</v>
      </c>
      <c r="E8" s="35">
        <v>44942</v>
      </c>
      <c r="F8" s="40"/>
      <c r="G8" s="5"/>
      <c r="H8" s="5"/>
      <c r="I8" s="5"/>
      <c r="J8" s="5">
        <f>2.9</f>
        <v>2.9</v>
      </c>
      <c r="K8" s="5"/>
      <c r="L8" s="6">
        <v>89.8</v>
      </c>
      <c r="M8" s="61">
        <f>71.5+3.9</f>
        <v>75.400000000000006</v>
      </c>
      <c r="N8" s="6">
        <f t="shared" si="0"/>
        <v>11.519999999999994</v>
      </c>
    </row>
    <row r="9" spans="1:15">
      <c r="A9" s="44" t="s">
        <v>224</v>
      </c>
      <c r="B9" s="44" t="s">
        <v>200</v>
      </c>
      <c r="C9" s="4"/>
      <c r="D9" s="4"/>
      <c r="E9" s="35">
        <v>44953</v>
      </c>
      <c r="F9" s="40"/>
      <c r="G9" s="5"/>
      <c r="H9" s="5"/>
      <c r="I9" s="5"/>
      <c r="J9" s="5">
        <f>2.9*3</f>
        <v>8.6999999999999993</v>
      </c>
      <c r="K9" s="5"/>
      <c r="L9" s="6">
        <f>16.9*3</f>
        <v>50.699999999999996</v>
      </c>
      <c r="M9" s="65">
        <f>7.1*3</f>
        <v>21.299999999999997</v>
      </c>
      <c r="N9" s="59">
        <f t="shared" si="0"/>
        <v>23.52</v>
      </c>
    </row>
    <row r="10" spans="1:15">
      <c r="A10" s="44" t="s">
        <v>224</v>
      </c>
      <c r="B10" s="44" t="s">
        <v>200</v>
      </c>
      <c r="C10" s="4"/>
      <c r="D10" s="4"/>
      <c r="E10" s="35">
        <v>44970</v>
      </c>
      <c r="F10" s="40"/>
      <c r="G10" s="5"/>
      <c r="H10" s="5"/>
      <c r="I10" s="5"/>
      <c r="J10" s="5">
        <f>2.9*46</f>
        <v>133.4</v>
      </c>
      <c r="K10" s="5"/>
      <c r="L10" s="6">
        <f>765.1-50.7</f>
        <v>714.4</v>
      </c>
      <c r="M10" s="65">
        <f>8*6.3+21*4.5+2*9.2+2*13.1+13*7.1</f>
        <v>281.8</v>
      </c>
      <c r="N10" s="59">
        <f t="shared" si="0"/>
        <v>346.08</v>
      </c>
    </row>
    <row r="11" spans="1:15">
      <c r="A11" s="44" t="s">
        <v>191</v>
      </c>
      <c r="B11" s="44" t="s">
        <v>200</v>
      </c>
      <c r="C11" s="4"/>
      <c r="D11" s="4"/>
      <c r="E11" s="35">
        <v>44918</v>
      </c>
      <c r="F11" s="40"/>
      <c r="G11" s="5"/>
      <c r="H11" s="12">
        <f>1.5+2.9*17</f>
        <v>50.8</v>
      </c>
      <c r="I11" s="5"/>
      <c r="J11" s="5"/>
      <c r="K11" s="5"/>
      <c r="L11" s="6">
        <v>287.3</v>
      </c>
      <c r="M11" s="61">
        <v>120.7</v>
      </c>
      <c r="N11" s="6">
        <f t="shared" si="0"/>
        <v>133.28000000000003</v>
      </c>
    </row>
    <row r="12" spans="1:15">
      <c r="A12" s="44" t="s">
        <v>191</v>
      </c>
      <c r="B12" s="44" t="s">
        <v>200</v>
      </c>
      <c r="C12" s="4"/>
      <c r="D12" s="4">
        <v>44936</v>
      </c>
      <c r="E12" s="35">
        <v>44936</v>
      </c>
      <c r="F12" s="40"/>
      <c r="G12" s="5"/>
      <c r="H12" s="5"/>
      <c r="I12" s="5"/>
      <c r="J12" s="5">
        <f>2.9*2</f>
        <v>5.8</v>
      </c>
      <c r="K12" s="5"/>
      <c r="L12" s="6">
        <f>16.9*2</f>
        <v>33.799999999999997</v>
      </c>
      <c r="M12" s="61">
        <f>7.1*2</f>
        <v>14.2</v>
      </c>
      <c r="N12" s="6">
        <f t="shared" si="0"/>
        <v>15.68</v>
      </c>
    </row>
    <row r="13" spans="1:15">
      <c r="A13" s="44" t="s">
        <v>191</v>
      </c>
      <c r="B13" s="44" t="s">
        <v>200</v>
      </c>
      <c r="C13" s="35"/>
      <c r="D13" s="35"/>
      <c r="E13" s="4">
        <v>44995</v>
      </c>
      <c r="F13" s="40"/>
      <c r="G13" s="40"/>
      <c r="H13" s="5"/>
      <c r="I13" s="40"/>
      <c r="J13" s="40">
        <v>2.9</v>
      </c>
      <c r="K13" s="40"/>
      <c r="L13" s="6">
        <v>16.899999999999999</v>
      </c>
      <c r="M13" s="61">
        <v>7.1</v>
      </c>
      <c r="N13" s="59">
        <f t="shared" si="0"/>
        <v>7.84</v>
      </c>
    </row>
    <row r="14" spans="1:15">
      <c r="A14" s="44" t="s">
        <v>191</v>
      </c>
      <c r="B14" s="44" t="s">
        <v>200</v>
      </c>
      <c r="C14" s="4"/>
      <c r="D14" s="4"/>
      <c r="E14" s="35" t="s">
        <v>192</v>
      </c>
      <c r="F14" s="40"/>
      <c r="G14" s="5"/>
      <c r="H14" s="12">
        <f>5*2.9+3.5</f>
        <v>18</v>
      </c>
      <c r="I14" s="5"/>
      <c r="J14" s="5"/>
      <c r="K14" s="5"/>
      <c r="L14" s="6">
        <v>84.5</v>
      </c>
      <c r="M14" s="61">
        <f>7.1*5</f>
        <v>35.5</v>
      </c>
      <c r="N14" s="6">
        <f t="shared" si="0"/>
        <v>39.200000000000003</v>
      </c>
    </row>
    <row r="15" spans="1:15">
      <c r="A15" s="44" t="s">
        <v>225</v>
      </c>
      <c r="B15" s="44" t="s">
        <v>200</v>
      </c>
      <c r="C15" s="4"/>
      <c r="D15" s="4"/>
      <c r="E15" s="35">
        <v>44977</v>
      </c>
      <c r="F15" s="40"/>
      <c r="G15" s="5"/>
      <c r="H15" s="5"/>
      <c r="I15" s="5"/>
      <c r="J15" s="5">
        <v>2.9</v>
      </c>
      <c r="K15" s="5"/>
      <c r="L15" s="6">
        <v>22.5</v>
      </c>
      <c r="M15" s="65">
        <v>13.1</v>
      </c>
      <c r="N15" s="59">
        <f t="shared" si="0"/>
        <v>7.5200000000000005</v>
      </c>
    </row>
    <row r="16" spans="1:15">
      <c r="A16" s="44" t="s">
        <v>45</v>
      </c>
      <c r="B16" s="44" t="s">
        <v>200</v>
      </c>
      <c r="C16" s="35"/>
      <c r="D16" s="35"/>
      <c r="E16" s="4">
        <v>44999</v>
      </c>
      <c r="F16" s="40"/>
      <c r="G16" s="40"/>
      <c r="H16" s="5"/>
      <c r="I16" s="40"/>
      <c r="J16" s="40">
        <f>11*2.9</f>
        <v>31.9</v>
      </c>
      <c r="K16" s="40"/>
      <c r="L16" s="6">
        <v>110.5</v>
      </c>
      <c r="M16" s="6">
        <f>6*3.5+5*6.85</f>
        <v>55.25</v>
      </c>
      <c r="N16" s="59">
        <f t="shared" si="0"/>
        <v>44.2</v>
      </c>
    </row>
    <row r="17" spans="1:14">
      <c r="A17" s="44" t="s">
        <v>240</v>
      </c>
      <c r="B17" s="44" t="s">
        <v>200</v>
      </c>
      <c r="C17" s="35"/>
      <c r="D17" s="35"/>
      <c r="E17" s="4">
        <v>44970</v>
      </c>
      <c r="F17" s="40"/>
      <c r="G17" s="40"/>
      <c r="H17" s="5"/>
      <c r="I17" s="40"/>
      <c r="J17" s="40">
        <f>15*2.9</f>
        <v>43.5</v>
      </c>
      <c r="K17" s="40"/>
      <c r="L17" s="6">
        <f>10*10+3*11.5+2*10</f>
        <v>154.5</v>
      </c>
      <c r="M17" s="61">
        <f>4.5*10+7.1*5+4.5*2</f>
        <v>89.5</v>
      </c>
      <c r="N17" s="59">
        <f t="shared" si="0"/>
        <v>52</v>
      </c>
    </row>
    <row r="18" spans="1:14">
      <c r="A18" s="44" t="s">
        <v>240</v>
      </c>
      <c r="B18" s="44" t="s">
        <v>200</v>
      </c>
      <c r="C18" s="35"/>
      <c r="D18" s="35"/>
      <c r="E18" s="4">
        <v>45013</v>
      </c>
      <c r="F18" s="40"/>
      <c r="G18" s="40"/>
      <c r="H18" s="5"/>
      <c r="I18" s="40"/>
      <c r="J18" s="40">
        <v>2.9</v>
      </c>
      <c r="K18" s="40"/>
      <c r="L18" s="6">
        <f>25.9+4.9</f>
        <v>30.799999999999997</v>
      </c>
      <c r="M18" s="6">
        <f>16+3.9</f>
        <v>19.899999999999999</v>
      </c>
      <c r="N18" s="59">
        <f t="shared" si="0"/>
        <v>8.7199999999999989</v>
      </c>
    </row>
    <row r="19" spans="1:14">
      <c r="A19" s="44" t="s">
        <v>241</v>
      </c>
      <c r="B19" s="44" t="s">
        <v>200</v>
      </c>
      <c r="C19" s="35"/>
      <c r="D19" s="35"/>
      <c r="E19" s="4">
        <v>44970</v>
      </c>
      <c r="F19" s="40"/>
      <c r="G19" s="40"/>
      <c r="H19" s="5"/>
      <c r="I19" s="40"/>
      <c r="J19" s="40">
        <f>6*2.9</f>
        <v>17.399999999999999</v>
      </c>
      <c r="K19" s="40"/>
      <c r="L19" s="6">
        <f>10+11.5*4+16.5</f>
        <v>72.5</v>
      </c>
      <c r="M19" s="61">
        <f>4.5+7.1*4+9.2</f>
        <v>42.099999999999994</v>
      </c>
      <c r="N19" s="59">
        <f t="shared" si="0"/>
        <v>24.320000000000007</v>
      </c>
    </row>
    <row r="20" spans="1:14">
      <c r="A20" s="52" t="s">
        <v>207</v>
      </c>
      <c r="B20" s="52" t="s">
        <v>200</v>
      </c>
      <c r="C20" s="4"/>
      <c r="D20" s="4">
        <v>44937</v>
      </c>
      <c r="E20" s="35">
        <v>44937</v>
      </c>
      <c r="F20" s="40"/>
      <c r="G20" s="5"/>
      <c r="H20" s="5"/>
      <c r="I20" s="5"/>
      <c r="J20" s="5">
        <f>2.9*2</f>
        <v>5.8</v>
      </c>
      <c r="K20" s="5"/>
      <c r="L20" s="6">
        <f>29.8</f>
        <v>29.8</v>
      </c>
      <c r="M20" s="61">
        <f>6.85*2</f>
        <v>13.7</v>
      </c>
      <c r="N20" s="6">
        <f t="shared" si="0"/>
        <v>12.880000000000003</v>
      </c>
    </row>
    <row r="21" spans="1:14">
      <c r="A21" s="44" t="s">
        <v>243</v>
      </c>
      <c r="B21" s="44" t="s">
        <v>200</v>
      </c>
      <c r="C21" s="35"/>
      <c r="D21" s="35"/>
      <c r="E21" s="4">
        <v>44970</v>
      </c>
      <c r="F21" s="40"/>
      <c r="G21" s="40"/>
      <c r="H21" s="5"/>
      <c r="I21" s="40"/>
      <c r="J21" s="40">
        <f>17*2.9</f>
        <v>49.3</v>
      </c>
      <c r="K21" s="40"/>
      <c r="L21" s="6">
        <f>130+46</f>
        <v>176</v>
      </c>
      <c r="M21" s="61">
        <f>13*4.5+7.1*4</f>
        <v>86.9</v>
      </c>
      <c r="N21" s="59">
        <f t="shared" si="0"/>
        <v>71.28</v>
      </c>
    </row>
    <row r="22" spans="1:14">
      <c r="A22" s="44" t="s">
        <v>243</v>
      </c>
      <c r="B22" s="44" t="s">
        <v>200</v>
      </c>
      <c r="C22" s="35"/>
      <c r="D22" s="35"/>
      <c r="E22" s="4">
        <v>44988</v>
      </c>
      <c r="F22" s="40"/>
      <c r="G22" s="40"/>
      <c r="H22" s="5"/>
      <c r="I22" s="40"/>
      <c r="J22" s="40">
        <v>2.9</v>
      </c>
      <c r="K22" s="40"/>
      <c r="L22" s="6">
        <v>47.8</v>
      </c>
      <c r="M22" s="6">
        <v>34.6</v>
      </c>
      <c r="N22" s="59">
        <f t="shared" si="0"/>
        <v>10.559999999999997</v>
      </c>
    </row>
    <row r="23" spans="1:14">
      <c r="A23" s="44" t="s">
        <v>286</v>
      </c>
      <c r="B23" s="44" t="s">
        <v>200</v>
      </c>
      <c r="C23" s="35"/>
      <c r="D23" s="35"/>
      <c r="E23" s="4">
        <v>45040</v>
      </c>
      <c r="F23" s="40"/>
      <c r="G23" s="40"/>
      <c r="H23" s="5"/>
      <c r="I23" s="40"/>
      <c r="J23" s="40"/>
      <c r="K23" s="40"/>
      <c r="L23" s="6">
        <v>43.6</v>
      </c>
      <c r="M23" s="6">
        <v>16</v>
      </c>
      <c r="N23" s="59">
        <f>(L23-M23)*0.8/30*6</f>
        <v>4.4160000000000004</v>
      </c>
    </row>
    <row r="24" spans="1:14">
      <c r="A24" s="44" t="s">
        <v>211</v>
      </c>
      <c r="B24" s="44" t="s">
        <v>200</v>
      </c>
      <c r="C24" s="4"/>
      <c r="D24" s="4">
        <v>44942</v>
      </c>
      <c r="E24" s="35">
        <v>44942</v>
      </c>
      <c r="F24" s="40"/>
      <c r="G24" s="5"/>
      <c r="H24" s="5"/>
      <c r="I24" s="5"/>
      <c r="J24" s="5">
        <f>2.9+0.75</f>
        <v>3.65</v>
      </c>
      <c r="K24" s="5"/>
      <c r="L24" s="6">
        <v>14.8</v>
      </c>
      <c r="M24" s="61">
        <f>3.5+3.9</f>
        <v>7.4</v>
      </c>
      <c r="N24" s="6">
        <f>(L24-M24)*0.8</f>
        <v>5.9200000000000008</v>
      </c>
    </row>
    <row r="25" spans="1:14">
      <c r="A25" s="44" t="s">
        <v>112</v>
      </c>
      <c r="B25" s="44" t="s">
        <v>200</v>
      </c>
      <c r="C25" s="4"/>
      <c r="D25" s="4"/>
      <c r="E25" s="35">
        <v>44974</v>
      </c>
      <c r="F25" s="40"/>
      <c r="G25" s="5"/>
      <c r="H25" s="5"/>
      <c r="I25" s="5"/>
      <c r="J25" s="5">
        <f>2.9</f>
        <v>2.9</v>
      </c>
      <c r="K25" s="5"/>
      <c r="L25" s="6">
        <v>47.8</v>
      </c>
      <c r="M25" s="65">
        <v>34.6</v>
      </c>
      <c r="N25" s="59">
        <f>(L25-M25)*0.8</f>
        <v>10.559999999999997</v>
      </c>
    </row>
    <row r="26" spans="1:14">
      <c r="A26" s="44" t="s">
        <v>283</v>
      </c>
      <c r="B26" s="44" t="s">
        <v>200</v>
      </c>
      <c r="C26" s="35"/>
      <c r="D26" s="35"/>
      <c r="E26" s="4">
        <v>45019</v>
      </c>
      <c r="F26" s="40"/>
      <c r="G26" s="40"/>
      <c r="H26" s="5"/>
      <c r="I26" s="40"/>
      <c r="J26" s="40"/>
      <c r="K26" s="40"/>
      <c r="L26" s="6">
        <v>28.5</v>
      </c>
      <c r="M26" s="18">
        <v>13.7</v>
      </c>
      <c r="N26" s="70">
        <f>(L26-M26)*0.8/30*27</f>
        <v>10.656000000000002</v>
      </c>
    </row>
    <row r="27" spans="1:14">
      <c r="A27" s="44" t="s">
        <v>204</v>
      </c>
      <c r="B27" s="44" t="s">
        <v>200</v>
      </c>
      <c r="C27" s="4"/>
      <c r="D27" s="4"/>
      <c r="E27" s="35">
        <v>44918</v>
      </c>
      <c r="F27" s="40"/>
      <c r="G27" s="5"/>
      <c r="H27" s="5">
        <f>0.75+2.9</f>
        <v>3.65</v>
      </c>
      <c r="I27" s="5"/>
      <c r="J27" s="5"/>
      <c r="K27" s="5"/>
      <c r="L27" s="6">
        <v>17.899999999999999</v>
      </c>
      <c r="M27" s="62">
        <v>8.9</v>
      </c>
      <c r="N27" s="18">
        <f t="shared" ref="N27:N60" si="1">(L27-M27)*0.8</f>
        <v>7.1999999999999993</v>
      </c>
    </row>
    <row r="28" spans="1:14">
      <c r="A28" s="44" t="s">
        <v>267</v>
      </c>
      <c r="B28" s="44" t="s">
        <v>200</v>
      </c>
      <c r="C28" s="35"/>
      <c r="D28" s="35"/>
      <c r="E28" s="4">
        <v>44995</v>
      </c>
      <c r="F28" s="40"/>
      <c r="G28" s="40"/>
      <c r="H28" s="5"/>
      <c r="I28" s="40"/>
      <c r="J28" s="40">
        <v>2.9</v>
      </c>
      <c r="K28" s="40"/>
      <c r="L28" s="6">
        <v>13.9</v>
      </c>
      <c r="M28" s="18">
        <v>6.3</v>
      </c>
      <c r="N28" s="70">
        <f t="shared" si="1"/>
        <v>6.080000000000001</v>
      </c>
    </row>
    <row r="29" spans="1:14">
      <c r="A29" s="44" t="s">
        <v>202</v>
      </c>
      <c r="B29" s="44" t="s">
        <v>200</v>
      </c>
      <c r="C29" s="4"/>
      <c r="D29" s="4"/>
      <c r="E29" s="35">
        <v>44896</v>
      </c>
      <c r="F29" s="40"/>
      <c r="G29" s="5"/>
      <c r="H29" s="5">
        <f>0.75+2.9*2</f>
        <v>6.55</v>
      </c>
      <c r="I29" s="5"/>
      <c r="J29" s="5"/>
      <c r="K29" s="5"/>
      <c r="L29" s="6">
        <v>60</v>
      </c>
      <c r="M29" s="62">
        <f>19.5*2</f>
        <v>39</v>
      </c>
      <c r="N29" s="18">
        <f t="shared" si="1"/>
        <v>16.8</v>
      </c>
    </row>
    <row r="30" spans="1:14">
      <c r="A30" s="44" t="s">
        <v>268</v>
      </c>
      <c r="B30" s="44" t="s">
        <v>200</v>
      </c>
      <c r="C30" s="35"/>
      <c r="D30" s="35"/>
      <c r="E30" s="4">
        <v>45012</v>
      </c>
      <c r="F30" s="40"/>
      <c r="G30" s="40"/>
      <c r="H30" s="5"/>
      <c r="I30" s="40"/>
      <c r="J30" s="40">
        <f>8*2.9</f>
        <v>23.2</v>
      </c>
      <c r="K30" s="40"/>
      <c r="L30" s="6">
        <f>143.2</f>
        <v>143.19999999999999</v>
      </c>
      <c r="M30" s="6">
        <f>9+6.85+5*7.1</f>
        <v>51.35</v>
      </c>
      <c r="N30" s="59">
        <f t="shared" si="1"/>
        <v>73.48</v>
      </c>
    </row>
    <row r="31" spans="1:14">
      <c r="A31" s="44" t="s">
        <v>218</v>
      </c>
      <c r="B31" s="44" t="s">
        <v>200</v>
      </c>
      <c r="C31" s="4"/>
      <c r="D31" s="4"/>
      <c r="E31" s="35">
        <v>44935</v>
      </c>
      <c r="F31" s="40"/>
      <c r="G31" s="5"/>
      <c r="H31" s="5"/>
      <c r="I31" s="5"/>
      <c r="J31" s="5">
        <v>2.9</v>
      </c>
      <c r="K31" s="5"/>
      <c r="L31" s="6">
        <v>29</v>
      </c>
      <c r="M31" s="61">
        <v>13.1</v>
      </c>
      <c r="N31" s="6">
        <f t="shared" si="1"/>
        <v>12.72</v>
      </c>
    </row>
    <row r="32" spans="1:14">
      <c r="A32" s="44" t="s">
        <v>58</v>
      </c>
      <c r="B32" s="44" t="s">
        <v>200</v>
      </c>
      <c r="C32" s="4"/>
      <c r="D32" s="4">
        <v>44935</v>
      </c>
      <c r="E32" s="35">
        <v>44935</v>
      </c>
      <c r="F32" s="40"/>
      <c r="G32" s="5"/>
      <c r="H32" s="5"/>
      <c r="I32" s="5"/>
      <c r="J32" s="5">
        <f>2.9*2</f>
        <v>5.8</v>
      </c>
      <c r="K32" s="5"/>
      <c r="L32" s="6">
        <f>21.5*2</f>
        <v>43</v>
      </c>
      <c r="M32" s="61">
        <f>7.9*2</f>
        <v>15.8</v>
      </c>
      <c r="N32" s="6">
        <f t="shared" si="1"/>
        <v>21.76</v>
      </c>
    </row>
    <row r="33" spans="1:14">
      <c r="A33" s="44" t="s">
        <v>212</v>
      </c>
      <c r="B33" s="44" t="s">
        <v>200</v>
      </c>
      <c r="C33" s="4"/>
      <c r="D33" s="4">
        <v>44942</v>
      </c>
      <c r="E33" s="35">
        <v>44942</v>
      </c>
      <c r="F33" s="40"/>
      <c r="G33" s="5"/>
      <c r="H33" s="5"/>
      <c r="I33" s="5"/>
      <c r="J33" s="5">
        <v>3.9</v>
      </c>
      <c r="K33" s="5"/>
      <c r="L33" s="6">
        <f>47.8</f>
        <v>47.8</v>
      </c>
      <c r="M33" s="61">
        <f>30.7+3.9</f>
        <v>34.6</v>
      </c>
      <c r="N33" s="6">
        <f t="shared" si="1"/>
        <v>10.559999999999997</v>
      </c>
    </row>
    <row r="34" spans="1:14">
      <c r="A34" s="44" t="s">
        <v>212</v>
      </c>
      <c r="B34" s="44" t="s">
        <v>200</v>
      </c>
      <c r="C34" s="35"/>
      <c r="D34" s="35"/>
      <c r="E34" s="4">
        <v>45000</v>
      </c>
      <c r="F34" s="40"/>
      <c r="G34" s="40"/>
      <c r="H34" s="5"/>
      <c r="I34" s="40"/>
      <c r="J34" s="40">
        <f>6*2.9</f>
        <v>17.399999999999999</v>
      </c>
      <c r="K34" s="40"/>
      <c r="L34" s="6">
        <v>56.5</v>
      </c>
      <c r="M34" s="6">
        <f>5*3.5+7.9</f>
        <v>25.4</v>
      </c>
      <c r="N34" s="59">
        <f t="shared" si="1"/>
        <v>24.880000000000003</v>
      </c>
    </row>
    <row r="35" spans="1:14">
      <c r="A35" s="44" t="s">
        <v>186</v>
      </c>
      <c r="B35" s="44" t="s">
        <v>200</v>
      </c>
      <c r="C35" s="4"/>
      <c r="D35" s="4"/>
      <c r="E35" s="4">
        <v>44881</v>
      </c>
      <c r="F35" s="40"/>
      <c r="G35" s="5"/>
      <c r="H35" s="12">
        <f>1.75+2.9*3</f>
        <v>10.45</v>
      </c>
      <c r="I35" s="5"/>
      <c r="J35" s="5"/>
      <c r="K35" s="5"/>
      <c r="L35" s="6">
        <f>50.7</f>
        <v>50.7</v>
      </c>
      <c r="M35" s="61">
        <f>20.5</f>
        <v>20.5</v>
      </c>
      <c r="N35" s="6">
        <f t="shared" si="1"/>
        <v>24.160000000000004</v>
      </c>
    </row>
    <row r="36" spans="1:14">
      <c r="A36" s="44" t="s">
        <v>230</v>
      </c>
      <c r="B36" s="44" t="s">
        <v>200</v>
      </c>
      <c r="C36" s="4"/>
      <c r="D36" s="4"/>
      <c r="E36" s="35">
        <v>44985</v>
      </c>
      <c r="F36" s="40"/>
      <c r="G36" s="5"/>
      <c r="H36" s="5"/>
      <c r="I36" s="5"/>
      <c r="J36" s="5">
        <f>2.9*2</f>
        <v>5.8</v>
      </c>
      <c r="K36" s="5"/>
      <c r="L36" s="6">
        <v>37.799999999999997</v>
      </c>
      <c r="M36" s="65">
        <f>4.5+13.1</f>
        <v>17.600000000000001</v>
      </c>
      <c r="N36" s="59">
        <f t="shared" si="1"/>
        <v>16.159999999999997</v>
      </c>
    </row>
    <row r="37" spans="1:14">
      <c r="A37" s="44" t="s">
        <v>231</v>
      </c>
      <c r="B37" s="44" t="s">
        <v>200</v>
      </c>
      <c r="C37" s="4"/>
      <c r="D37" s="4"/>
      <c r="E37" s="35">
        <v>44964</v>
      </c>
      <c r="F37" s="40"/>
      <c r="G37" s="5"/>
      <c r="H37" s="5"/>
      <c r="I37" s="5"/>
      <c r="J37" s="5">
        <f>2.9*2</f>
        <v>5.8</v>
      </c>
      <c r="K37" s="5"/>
      <c r="L37" s="6">
        <v>30</v>
      </c>
      <c r="M37" s="65">
        <v>13.5</v>
      </c>
      <c r="N37" s="59">
        <f t="shared" si="1"/>
        <v>13.200000000000001</v>
      </c>
    </row>
    <row r="38" spans="1:14">
      <c r="A38" s="44" t="s">
        <v>231</v>
      </c>
      <c r="B38" s="44" t="s">
        <v>200</v>
      </c>
      <c r="C38" s="4"/>
      <c r="D38" s="4"/>
      <c r="E38" s="35">
        <v>44978</v>
      </c>
      <c r="F38" s="40"/>
      <c r="G38" s="5"/>
      <c r="H38" s="5"/>
      <c r="I38" s="5"/>
      <c r="J38" s="5">
        <f>2.9</f>
        <v>2.9</v>
      </c>
      <c r="K38" s="5"/>
      <c r="L38" s="6">
        <f>18.5</f>
        <v>18.5</v>
      </c>
      <c r="M38" s="65">
        <v>9.1999999999999993</v>
      </c>
      <c r="N38" s="59">
        <f t="shared" si="1"/>
        <v>7.4400000000000013</v>
      </c>
    </row>
    <row r="39" spans="1:14">
      <c r="A39" s="44" t="s">
        <v>234</v>
      </c>
      <c r="B39" s="44" t="s">
        <v>200</v>
      </c>
      <c r="C39" s="4"/>
      <c r="D39" s="4"/>
      <c r="E39" s="35">
        <v>44966</v>
      </c>
      <c r="F39" s="40"/>
      <c r="G39" s="5"/>
      <c r="H39" s="5"/>
      <c r="I39" s="5"/>
      <c r="J39" s="5">
        <f>2.9*12</f>
        <v>34.799999999999997</v>
      </c>
      <c r="K39" s="5"/>
      <c r="L39" s="6">
        <v>178.8</v>
      </c>
      <c r="M39" s="65">
        <f>4.5*7+6.85+7.1+13.1*2</f>
        <v>71.650000000000006</v>
      </c>
      <c r="N39" s="59">
        <f t="shared" si="1"/>
        <v>85.720000000000013</v>
      </c>
    </row>
    <row r="40" spans="1:14">
      <c r="A40" s="44" t="s">
        <v>216</v>
      </c>
      <c r="B40" s="44" t="s">
        <v>200</v>
      </c>
      <c r="C40" s="4"/>
      <c r="D40" s="4"/>
      <c r="E40" s="35">
        <v>44949</v>
      </c>
      <c r="F40" s="40"/>
      <c r="G40" s="5"/>
      <c r="H40" s="5">
        <v>1.5</v>
      </c>
      <c r="I40" s="5"/>
      <c r="J40" s="5">
        <f>2.9*6</f>
        <v>17.399999999999999</v>
      </c>
      <c r="K40" s="5"/>
      <c r="L40" s="6">
        <f>100.4</f>
        <v>100.4</v>
      </c>
      <c r="M40" s="61">
        <f>4.5+9.2+7.1*4</f>
        <v>42.099999999999994</v>
      </c>
      <c r="N40" s="18">
        <f t="shared" si="1"/>
        <v>46.640000000000015</v>
      </c>
    </row>
    <row r="41" spans="1:14">
      <c r="A41" s="44" t="s">
        <v>263</v>
      </c>
      <c r="B41" s="44" t="s">
        <v>200</v>
      </c>
      <c r="C41" s="35"/>
      <c r="D41" s="35"/>
      <c r="E41" s="4">
        <v>44991</v>
      </c>
      <c r="F41" s="40"/>
      <c r="G41" s="40"/>
      <c r="H41" s="5"/>
      <c r="I41" s="40"/>
      <c r="J41" s="40">
        <v>2.9</v>
      </c>
      <c r="K41" s="40"/>
      <c r="L41" s="6">
        <v>10</v>
      </c>
      <c r="M41" s="6">
        <v>4.5</v>
      </c>
      <c r="N41" s="59">
        <f t="shared" si="1"/>
        <v>4.4000000000000004</v>
      </c>
    </row>
    <row r="42" spans="1:14">
      <c r="A42" s="44" t="s">
        <v>263</v>
      </c>
      <c r="B42" s="44" t="s">
        <v>200</v>
      </c>
      <c r="C42" s="35"/>
      <c r="D42" s="35"/>
      <c r="E42" s="4">
        <v>45012</v>
      </c>
      <c r="F42" s="40"/>
      <c r="G42" s="40"/>
      <c r="H42" s="5"/>
      <c r="I42" s="40"/>
      <c r="J42" s="40">
        <f>2.9*2</f>
        <v>5.8</v>
      </c>
      <c r="K42" s="40"/>
      <c r="L42" s="6">
        <v>20</v>
      </c>
      <c r="M42" s="6">
        <v>9</v>
      </c>
      <c r="N42" s="78">
        <f t="shared" si="1"/>
        <v>8.8000000000000007</v>
      </c>
    </row>
    <row r="43" spans="1:14">
      <c r="A43" s="44" t="s">
        <v>189</v>
      </c>
      <c r="B43" s="44" t="s">
        <v>200</v>
      </c>
      <c r="C43" s="4"/>
      <c r="D43" s="4"/>
      <c r="E43" s="35">
        <v>44886</v>
      </c>
      <c r="F43" s="40"/>
      <c r="G43" s="5"/>
      <c r="H43" s="5">
        <f>4.65</f>
        <v>4.6500000000000004</v>
      </c>
      <c r="I43" s="5"/>
      <c r="J43" s="5"/>
      <c r="K43" s="5"/>
      <c r="L43" s="6">
        <v>47.7</v>
      </c>
      <c r="M43" s="61">
        <f>30.7+3.9</f>
        <v>34.6</v>
      </c>
      <c r="N43" s="6">
        <f t="shared" si="1"/>
        <v>10.480000000000002</v>
      </c>
    </row>
    <row r="44" spans="1:14">
      <c r="A44" s="44" t="s">
        <v>189</v>
      </c>
      <c r="B44" s="44" t="s">
        <v>200</v>
      </c>
      <c r="C44" s="35"/>
      <c r="D44" s="35"/>
      <c r="E44" s="4">
        <v>44970</v>
      </c>
      <c r="F44" s="40"/>
      <c r="G44" s="40"/>
      <c r="H44" s="5"/>
      <c r="I44" s="40"/>
      <c r="J44" s="40">
        <f>9*2.9</f>
        <v>26.099999999999998</v>
      </c>
      <c r="K44" s="40"/>
      <c r="L44" s="6">
        <v>94.5</v>
      </c>
      <c r="M44" s="61">
        <f>45+3*7.1+4.5</f>
        <v>70.8</v>
      </c>
      <c r="N44" s="59">
        <f t="shared" si="1"/>
        <v>18.960000000000004</v>
      </c>
    </row>
    <row r="45" spans="1:14">
      <c r="A45" s="44" t="s">
        <v>88</v>
      </c>
      <c r="B45" s="44" t="s">
        <v>200</v>
      </c>
      <c r="C45" s="4"/>
      <c r="D45" s="4">
        <v>44928</v>
      </c>
      <c r="E45" s="35">
        <v>44928</v>
      </c>
      <c r="F45" s="40"/>
      <c r="G45" s="5"/>
      <c r="H45" s="5"/>
      <c r="I45" s="5"/>
      <c r="J45" s="5">
        <f>2.9</f>
        <v>2.9</v>
      </c>
      <c r="K45" s="5"/>
      <c r="L45" s="6">
        <v>84.9</v>
      </c>
      <c r="M45" s="61">
        <v>71.5</v>
      </c>
      <c r="N45" s="6">
        <f t="shared" si="1"/>
        <v>10.720000000000006</v>
      </c>
    </row>
    <row r="46" spans="1:14">
      <c r="A46" s="44" t="s">
        <v>10</v>
      </c>
      <c r="B46" s="75" t="s">
        <v>200</v>
      </c>
      <c r="C46" s="31"/>
      <c r="D46" s="31"/>
      <c r="E46" s="35">
        <v>44921</v>
      </c>
      <c r="F46" s="40"/>
      <c r="G46" s="5"/>
      <c r="H46" s="5">
        <f>9.03+2.9*103</f>
        <v>307.72999999999996</v>
      </c>
      <c r="I46" s="5"/>
      <c r="J46" s="5"/>
      <c r="K46" s="5"/>
      <c r="L46" s="6">
        <f>11.5*10+10*93</f>
        <v>1045</v>
      </c>
      <c r="M46" s="61">
        <f>4.5*93+6.85*10</f>
        <v>487</v>
      </c>
      <c r="N46" s="6">
        <f t="shared" si="1"/>
        <v>446.40000000000003</v>
      </c>
    </row>
    <row r="47" spans="1:14">
      <c r="A47" s="44" t="s">
        <v>188</v>
      </c>
      <c r="B47" s="44" t="s">
        <v>200</v>
      </c>
      <c r="C47" s="4"/>
      <c r="D47" s="4"/>
      <c r="E47" s="35">
        <v>44886</v>
      </c>
      <c r="F47" s="40"/>
      <c r="G47" s="5"/>
      <c r="H47" s="5">
        <f>4.65</f>
        <v>4.6500000000000004</v>
      </c>
      <c r="I47" s="5"/>
      <c r="J47" s="5"/>
      <c r="K47" s="5"/>
      <c r="L47" s="6">
        <v>18.8</v>
      </c>
      <c r="M47" s="61">
        <f>6.3+3.9</f>
        <v>10.199999999999999</v>
      </c>
      <c r="N47" s="6">
        <f t="shared" si="1"/>
        <v>6.8800000000000017</v>
      </c>
    </row>
    <row r="48" spans="1:14">
      <c r="A48" s="44" t="s">
        <v>203</v>
      </c>
      <c r="B48" s="44" t="s">
        <v>200</v>
      </c>
      <c r="C48" s="4"/>
      <c r="D48" s="4"/>
      <c r="E48" s="35">
        <v>44901</v>
      </c>
      <c r="F48" s="40"/>
      <c r="G48" s="5"/>
      <c r="H48" s="5">
        <f>0.75+2.9</f>
        <v>3.65</v>
      </c>
      <c r="I48" s="5"/>
      <c r="J48" s="5"/>
      <c r="K48" s="5"/>
      <c r="L48" s="6">
        <v>10</v>
      </c>
      <c r="M48" s="61">
        <f>5.3</f>
        <v>5.3</v>
      </c>
      <c r="N48" s="6">
        <f t="shared" si="1"/>
        <v>3.7600000000000002</v>
      </c>
    </row>
    <row r="49" spans="1:14">
      <c r="A49" s="44" t="s">
        <v>242</v>
      </c>
      <c r="B49" s="44" t="s">
        <v>200</v>
      </c>
      <c r="C49" s="35"/>
      <c r="D49" s="35"/>
      <c r="E49" s="4">
        <v>44970</v>
      </c>
      <c r="F49" s="40"/>
      <c r="G49" s="40"/>
      <c r="H49" s="5"/>
      <c r="I49" s="40"/>
      <c r="J49" s="40">
        <f>26*2.9</f>
        <v>75.399999999999991</v>
      </c>
      <c r="K49" s="40"/>
      <c r="L49" s="6">
        <f>10*16+11.5*10</f>
        <v>275</v>
      </c>
      <c r="M49" s="61">
        <f>4.5*10+7.1*10</f>
        <v>116</v>
      </c>
      <c r="N49" s="59">
        <f t="shared" si="1"/>
        <v>127.2</v>
      </c>
    </row>
    <row r="50" spans="1:14">
      <c r="A50" s="44" t="s">
        <v>270</v>
      </c>
      <c r="B50" s="44" t="s">
        <v>200</v>
      </c>
      <c r="C50" s="35"/>
      <c r="D50" s="35"/>
      <c r="E50" s="4">
        <v>45015</v>
      </c>
      <c r="F50" s="40"/>
      <c r="G50" s="40"/>
      <c r="H50" s="5"/>
      <c r="I50" s="40"/>
      <c r="J50" s="40">
        <f>2.9</f>
        <v>2.9</v>
      </c>
      <c r="K50" s="40"/>
      <c r="L50" s="6">
        <v>84.9</v>
      </c>
      <c r="M50" s="6">
        <v>71.5</v>
      </c>
      <c r="N50" s="59">
        <f t="shared" si="1"/>
        <v>10.720000000000006</v>
      </c>
    </row>
    <row r="51" spans="1:14">
      <c r="A51" s="44" t="s">
        <v>223</v>
      </c>
      <c r="B51" s="44" t="s">
        <v>200</v>
      </c>
      <c r="C51" s="4"/>
      <c r="D51" s="4"/>
      <c r="E51" s="35">
        <v>44957</v>
      </c>
      <c r="F51" s="40"/>
      <c r="G51" s="5"/>
      <c r="H51" s="5"/>
      <c r="I51" s="5"/>
      <c r="J51" s="5">
        <f>3*2.9</f>
        <v>8.6999999999999993</v>
      </c>
      <c r="K51" s="5"/>
      <c r="L51" s="6">
        <f>14.9+14.9*2</f>
        <v>44.7</v>
      </c>
      <c r="M51" s="65">
        <f>6.85*3</f>
        <v>20.549999999999997</v>
      </c>
      <c r="N51" s="59">
        <f t="shared" si="1"/>
        <v>19.320000000000007</v>
      </c>
    </row>
    <row r="52" spans="1:14">
      <c r="A52" s="44" t="s">
        <v>258</v>
      </c>
      <c r="B52" s="44" t="s">
        <v>200</v>
      </c>
      <c r="C52" s="35"/>
      <c r="D52" s="35"/>
      <c r="E52" s="4">
        <v>44995</v>
      </c>
      <c r="F52" s="40"/>
      <c r="G52" s="40"/>
      <c r="H52" s="5"/>
      <c r="I52" s="40"/>
      <c r="J52" s="40">
        <f>45*2.9</f>
        <v>130.5</v>
      </c>
      <c r="K52" s="40"/>
      <c r="L52" s="6">
        <v>461.2</v>
      </c>
      <c r="M52" s="6">
        <f>9.2+10*6.85+13.1+7.1+19*3.5+3.5*13</f>
        <v>209.89999999999998</v>
      </c>
      <c r="N52" s="59">
        <f t="shared" si="1"/>
        <v>201.04000000000002</v>
      </c>
    </row>
    <row r="53" spans="1:14">
      <c r="A53" s="44" t="s">
        <v>260</v>
      </c>
      <c r="B53" s="44" t="s">
        <v>200</v>
      </c>
      <c r="C53" s="35"/>
      <c r="D53" s="35"/>
      <c r="E53" s="4">
        <v>44987</v>
      </c>
      <c r="F53" s="40"/>
      <c r="G53" s="40"/>
      <c r="H53" s="5"/>
      <c r="I53" s="40"/>
      <c r="J53" s="40">
        <v>2.9</v>
      </c>
      <c r="K53" s="40"/>
      <c r="L53" s="6">
        <v>16.5</v>
      </c>
      <c r="M53" s="6">
        <v>7.9</v>
      </c>
      <c r="N53" s="59">
        <f t="shared" si="1"/>
        <v>6.88</v>
      </c>
    </row>
    <row r="54" spans="1:14">
      <c r="A54" s="44" t="s">
        <v>260</v>
      </c>
      <c r="B54" s="44" t="s">
        <v>200</v>
      </c>
      <c r="C54" s="35"/>
      <c r="D54" s="35"/>
      <c r="E54" s="4">
        <v>44995</v>
      </c>
      <c r="F54" s="40"/>
      <c r="G54" s="40"/>
      <c r="H54" s="5"/>
      <c r="I54" s="40"/>
      <c r="J54" s="40">
        <f>2.9*25</f>
        <v>72.5</v>
      </c>
      <c r="K54" s="40"/>
      <c r="L54" s="6">
        <f>306.9+16.5</f>
        <v>323.39999999999998</v>
      </c>
      <c r="M54" s="6">
        <f>9.2*2+6.85*12+7.9*2+7.1*2+3.5*6+3.5</f>
        <v>155.1</v>
      </c>
      <c r="N54" s="59">
        <f t="shared" si="1"/>
        <v>134.63999999999999</v>
      </c>
    </row>
    <row r="55" spans="1:14">
      <c r="A55" s="44" t="s">
        <v>261</v>
      </c>
      <c r="B55" s="44" t="s">
        <v>200</v>
      </c>
      <c r="C55" s="35"/>
      <c r="D55" s="35"/>
      <c r="E55" s="4">
        <v>45008</v>
      </c>
      <c r="F55" s="40"/>
      <c r="G55" s="40"/>
      <c r="H55" s="5"/>
      <c r="I55" s="40"/>
      <c r="J55" s="40">
        <v>2.9</v>
      </c>
      <c r="K55" s="40"/>
      <c r="L55" s="6">
        <v>47.8</v>
      </c>
      <c r="M55" s="6">
        <f>30.7+3.9</f>
        <v>34.6</v>
      </c>
      <c r="N55" s="59">
        <f t="shared" si="1"/>
        <v>10.559999999999997</v>
      </c>
    </row>
    <row r="56" spans="1:14">
      <c r="A56" s="44" t="s">
        <v>219</v>
      </c>
      <c r="B56" s="44" t="s">
        <v>200</v>
      </c>
      <c r="C56" s="4"/>
      <c r="D56" s="4"/>
      <c r="E56" s="35">
        <v>44931</v>
      </c>
      <c r="F56" s="40"/>
      <c r="G56" s="5"/>
      <c r="H56" s="5"/>
      <c r="I56" s="5"/>
      <c r="J56" s="5">
        <f>2.9*2</f>
        <v>5.8</v>
      </c>
      <c r="K56" s="5"/>
      <c r="L56" s="6">
        <f>21.8</f>
        <v>21.8</v>
      </c>
      <c r="M56" s="61">
        <f>3.5+4.5</f>
        <v>8</v>
      </c>
      <c r="N56" s="6">
        <f t="shared" si="1"/>
        <v>11.040000000000001</v>
      </c>
    </row>
    <row r="57" spans="1:14">
      <c r="A57" s="44" t="s">
        <v>205</v>
      </c>
      <c r="B57" s="44" t="s">
        <v>200</v>
      </c>
      <c r="C57" s="4"/>
      <c r="D57" s="4"/>
      <c r="E57" s="35">
        <v>44921</v>
      </c>
      <c r="F57" s="40"/>
      <c r="G57" s="5"/>
      <c r="H57" s="5">
        <f>0.75+2.9</f>
        <v>3.65</v>
      </c>
      <c r="I57" s="5"/>
      <c r="J57" s="5"/>
      <c r="K57" s="5"/>
      <c r="L57" s="6">
        <v>14.9</v>
      </c>
      <c r="M57" s="61">
        <v>6.85</v>
      </c>
      <c r="N57" s="6">
        <f t="shared" si="1"/>
        <v>6.4400000000000013</v>
      </c>
    </row>
    <row r="58" spans="1:14">
      <c r="A58" s="44" t="s">
        <v>205</v>
      </c>
      <c r="B58" s="44" t="s">
        <v>200</v>
      </c>
      <c r="C58" s="4"/>
      <c r="D58" s="4">
        <v>44935</v>
      </c>
      <c r="E58" s="35">
        <v>44935</v>
      </c>
      <c r="F58" s="40"/>
      <c r="G58" s="5"/>
      <c r="H58" s="5"/>
      <c r="I58" s="5"/>
      <c r="J58" s="5">
        <f>2.9+2.9</f>
        <v>5.8</v>
      </c>
      <c r="K58" s="5"/>
      <c r="L58" s="6">
        <v>13.9</v>
      </c>
      <c r="M58" s="61">
        <f>6.3</f>
        <v>6.3</v>
      </c>
      <c r="N58" s="6">
        <f t="shared" si="1"/>
        <v>6.080000000000001</v>
      </c>
    </row>
    <row r="59" spans="1:14">
      <c r="A59" s="44" t="s">
        <v>205</v>
      </c>
      <c r="B59" s="44" t="s">
        <v>200</v>
      </c>
      <c r="C59" s="4"/>
      <c r="D59" s="4"/>
      <c r="E59" s="35">
        <v>44958</v>
      </c>
      <c r="F59" s="40"/>
      <c r="G59" s="5"/>
      <c r="H59" s="5"/>
      <c r="I59" s="5"/>
      <c r="J59" s="5">
        <v>2.9</v>
      </c>
      <c r="K59" s="5"/>
      <c r="L59" s="6">
        <v>12.5</v>
      </c>
      <c r="M59" s="65">
        <f>6.85</f>
        <v>6.85</v>
      </c>
      <c r="N59" s="59">
        <f t="shared" si="1"/>
        <v>4.5200000000000005</v>
      </c>
    </row>
    <row r="60" spans="1:14">
      <c r="A60" s="44" t="s">
        <v>205</v>
      </c>
      <c r="B60" s="44" t="s">
        <v>200</v>
      </c>
      <c r="C60" s="35"/>
      <c r="D60" s="35"/>
      <c r="E60" s="4">
        <v>44995</v>
      </c>
      <c r="F60" s="40"/>
      <c r="G60" s="40"/>
      <c r="H60" s="5"/>
      <c r="I60" s="40"/>
      <c r="J60" s="40">
        <v>2.9</v>
      </c>
      <c r="K60" s="40"/>
      <c r="L60" s="6">
        <v>12.5</v>
      </c>
      <c r="M60" s="61">
        <v>6.85</v>
      </c>
      <c r="N60" s="59">
        <f t="shared" si="1"/>
        <v>4.5200000000000005</v>
      </c>
    </row>
    <row r="61" spans="1:14">
      <c r="A61" s="44" t="s">
        <v>284</v>
      </c>
      <c r="B61" s="44" t="s">
        <v>200</v>
      </c>
      <c r="C61" s="35"/>
      <c r="D61" s="35"/>
      <c r="E61" s="4">
        <v>45043</v>
      </c>
      <c r="F61" s="40"/>
      <c r="G61" s="40"/>
      <c r="H61" s="5"/>
      <c r="I61" s="40"/>
      <c r="J61" s="40"/>
      <c r="K61" s="40"/>
      <c r="L61" s="6">
        <v>993.5</v>
      </c>
      <c r="M61" s="6">
        <v>543.5</v>
      </c>
      <c r="N61" s="59">
        <f>(L61-M61)*0.8/30*3</f>
        <v>36</v>
      </c>
    </row>
    <row r="62" spans="1:14">
      <c r="A62" s="52" t="s">
        <v>265</v>
      </c>
      <c r="B62" s="76" t="s">
        <v>200</v>
      </c>
      <c r="C62" s="36"/>
      <c r="D62" s="36"/>
      <c r="E62" s="15">
        <v>45012</v>
      </c>
      <c r="F62" s="40"/>
      <c r="G62" s="77"/>
      <c r="H62" s="37"/>
      <c r="I62" s="40"/>
      <c r="J62" s="40">
        <f>9*2.9</f>
        <v>26.099999999999998</v>
      </c>
      <c r="K62" s="40"/>
      <c r="L62" s="17">
        <v>141.1</v>
      </c>
      <c r="M62" s="26">
        <f>9+5*6.85+7.1+13.1</f>
        <v>63.45</v>
      </c>
      <c r="N62" s="85">
        <f>(L62-M62)*0</f>
        <v>0</v>
      </c>
    </row>
    <row r="63" spans="1:14">
      <c r="A63" s="44" t="s">
        <v>266</v>
      </c>
      <c r="B63" s="44" t="s">
        <v>200</v>
      </c>
      <c r="C63" s="35"/>
      <c r="D63" s="35"/>
      <c r="E63" s="4">
        <v>44995</v>
      </c>
      <c r="F63" s="40"/>
      <c r="G63" s="40"/>
      <c r="H63" s="5"/>
      <c r="I63" s="40"/>
      <c r="J63" s="40">
        <v>2.9</v>
      </c>
      <c r="K63" s="40"/>
      <c r="L63" s="6">
        <v>13.9</v>
      </c>
      <c r="M63" s="6">
        <v>6.85</v>
      </c>
      <c r="N63" s="59">
        <f t="shared" ref="N63:N69" si="2">(L63-M63)*0.8</f>
        <v>5.6400000000000006</v>
      </c>
    </row>
    <row r="64" spans="1:14">
      <c r="A64" s="44" t="s">
        <v>232</v>
      </c>
      <c r="B64" s="44" t="s">
        <v>200</v>
      </c>
      <c r="C64" s="4"/>
      <c r="D64" s="4"/>
      <c r="E64" s="35">
        <v>44985</v>
      </c>
      <c r="F64" s="40"/>
      <c r="G64" s="5"/>
      <c r="H64" s="5"/>
      <c r="I64" s="5"/>
      <c r="J64" s="5">
        <f>13*2.9</f>
        <v>37.699999999999996</v>
      </c>
      <c r="K64" s="5"/>
      <c r="L64" s="6">
        <f>206</f>
        <v>206</v>
      </c>
      <c r="M64" s="65">
        <f>34.25+3.5+7.1+7.9+18.4+13.1*3</f>
        <v>110.45</v>
      </c>
      <c r="N64" s="59">
        <f t="shared" si="2"/>
        <v>76.44</v>
      </c>
    </row>
    <row r="65" spans="1:14">
      <c r="A65" s="44" t="s">
        <v>257</v>
      </c>
      <c r="B65" s="44" t="s">
        <v>200</v>
      </c>
      <c r="C65" s="35"/>
      <c r="D65" s="35"/>
      <c r="E65" s="4">
        <v>44988</v>
      </c>
      <c r="F65" s="40"/>
      <c r="G65" s="40"/>
      <c r="H65" s="5"/>
      <c r="I65" s="40"/>
      <c r="J65" s="40">
        <f>11*2.9</f>
        <v>31.9</v>
      </c>
      <c r="K65" s="40"/>
      <c r="L65" s="6">
        <v>147</v>
      </c>
      <c r="M65" s="6">
        <f>3*7.9+5*4.5+9.2+2*7.1</f>
        <v>69.600000000000009</v>
      </c>
      <c r="N65" s="59">
        <f t="shared" si="2"/>
        <v>61.919999999999995</v>
      </c>
    </row>
    <row r="66" spans="1:14">
      <c r="A66" s="44" t="s">
        <v>195</v>
      </c>
      <c r="B66" s="44" t="s">
        <v>200</v>
      </c>
      <c r="C66" s="4"/>
      <c r="D66" s="4"/>
      <c r="E66" s="35">
        <v>44890</v>
      </c>
      <c r="F66" s="40"/>
      <c r="G66" s="5"/>
      <c r="H66" s="5">
        <f>3.5+2.9*5</f>
        <v>18</v>
      </c>
      <c r="I66" s="5"/>
      <c r="J66" s="5"/>
      <c r="K66" s="5"/>
      <c r="L66" s="6">
        <f>19.9*5</f>
        <v>99.5</v>
      </c>
      <c r="M66" s="61">
        <f>7.1*5</f>
        <v>35.5</v>
      </c>
      <c r="N66" s="6">
        <f t="shared" si="2"/>
        <v>51.2</v>
      </c>
    </row>
    <row r="67" spans="1:14">
      <c r="A67" s="44" t="s">
        <v>233</v>
      </c>
      <c r="B67" s="44" t="s">
        <v>200</v>
      </c>
      <c r="C67" s="4"/>
      <c r="D67" s="4"/>
      <c r="E67" s="35">
        <v>44971</v>
      </c>
      <c r="F67" s="40"/>
      <c r="G67" s="5"/>
      <c r="H67" s="5"/>
      <c r="I67" s="5"/>
      <c r="J67" s="5">
        <f>2.9*3</f>
        <v>8.6999999999999993</v>
      </c>
      <c r="K67" s="5"/>
      <c r="L67" s="6">
        <v>63.7</v>
      </c>
      <c r="M67" s="65">
        <v>31.1</v>
      </c>
      <c r="N67" s="59">
        <f t="shared" si="2"/>
        <v>26.080000000000002</v>
      </c>
    </row>
    <row r="68" spans="1:14">
      <c r="A68" s="44" t="s">
        <v>135</v>
      </c>
      <c r="B68" s="44" t="s">
        <v>200</v>
      </c>
      <c r="C68" s="4"/>
      <c r="D68" s="4"/>
      <c r="E68" s="35">
        <v>44964</v>
      </c>
      <c r="F68" s="40"/>
      <c r="G68" s="5"/>
      <c r="H68" s="5"/>
      <c r="I68" s="5"/>
      <c r="J68" s="5">
        <f>2.9*5</f>
        <v>14.5</v>
      </c>
      <c r="K68" s="5"/>
      <c r="L68" s="6">
        <v>68</v>
      </c>
      <c r="M68" s="65">
        <f>38.45</f>
        <v>38.450000000000003</v>
      </c>
      <c r="N68" s="59">
        <f t="shared" si="2"/>
        <v>23.64</v>
      </c>
    </row>
    <row r="69" spans="1:14">
      <c r="A69" s="44" t="s">
        <v>90</v>
      </c>
      <c r="B69" s="44" t="s">
        <v>200</v>
      </c>
      <c r="C69" s="4"/>
      <c r="D69" s="4"/>
      <c r="E69" s="35">
        <v>44957</v>
      </c>
      <c r="F69" s="40"/>
      <c r="G69" s="5"/>
      <c r="H69" s="5"/>
      <c r="I69" s="5"/>
      <c r="J69" s="5">
        <f>2.9</f>
        <v>2.9</v>
      </c>
      <c r="K69" s="5"/>
      <c r="L69" s="6">
        <v>47.8</v>
      </c>
      <c r="M69" s="65">
        <f>34.6</f>
        <v>34.6</v>
      </c>
      <c r="N69" s="59">
        <f t="shared" si="2"/>
        <v>10.559999999999997</v>
      </c>
    </row>
    <row r="70" spans="1:14">
      <c r="A70" s="44" t="s">
        <v>90</v>
      </c>
      <c r="B70" s="44" t="s">
        <v>200</v>
      </c>
      <c r="C70" s="35"/>
      <c r="D70" s="35"/>
      <c r="E70" s="4">
        <v>45043</v>
      </c>
      <c r="F70" s="40"/>
      <c r="G70" s="40"/>
      <c r="H70" s="5"/>
      <c r="I70" s="40"/>
      <c r="J70" s="40"/>
      <c r="K70" s="40"/>
      <c r="L70" s="6">
        <v>95.4</v>
      </c>
      <c r="M70" s="6">
        <v>41.1</v>
      </c>
      <c r="N70" s="59">
        <f>(L70-M70)*0.8/30*3</f>
        <v>4.3440000000000003</v>
      </c>
    </row>
    <row r="71" spans="1:14">
      <c r="A71" s="44" t="s">
        <v>285</v>
      </c>
      <c r="B71" s="44" t="s">
        <v>200</v>
      </c>
      <c r="C71" s="35"/>
      <c r="D71" s="35"/>
      <c r="E71" s="4">
        <v>45040</v>
      </c>
      <c r="F71" s="40"/>
      <c r="G71" s="40"/>
      <c r="H71" s="5"/>
      <c r="I71" s="40"/>
      <c r="J71" s="40"/>
      <c r="K71" s="40"/>
      <c r="L71" s="6">
        <v>52.5</v>
      </c>
      <c r="M71" s="6">
        <v>29.9</v>
      </c>
      <c r="N71" s="59">
        <f>(L71-M71)*0.8/30*6</f>
        <v>3.6160000000000001</v>
      </c>
    </row>
    <row r="72" spans="1:14">
      <c r="A72" s="44" t="s">
        <v>226</v>
      </c>
      <c r="B72" s="44" t="s">
        <v>200</v>
      </c>
      <c r="C72" s="4"/>
      <c r="D72" s="4"/>
      <c r="E72" s="35">
        <v>44974</v>
      </c>
      <c r="F72" s="40"/>
      <c r="G72" s="5"/>
      <c r="H72" s="5"/>
      <c r="I72" s="5"/>
      <c r="J72" s="5">
        <v>2.9</v>
      </c>
      <c r="K72" s="5"/>
      <c r="L72" s="6">
        <v>20.9</v>
      </c>
      <c r="M72" s="65">
        <v>9.1999999999999993</v>
      </c>
      <c r="N72" s="59">
        <f>(L72-M72)*0.8</f>
        <v>9.36</v>
      </c>
    </row>
    <row r="73" spans="1:14">
      <c r="A73" s="44" t="s">
        <v>226</v>
      </c>
      <c r="B73" s="44" t="s">
        <v>200</v>
      </c>
      <c r="C73" s="35"/>
      <c r="D73" s="35"/>
      <c r="E73" s="4">
        <v>45040</v>
      </c>
      <c r="F73" s="40"/>
      <c r="G73" s="40"/>
      <c r="H73" s="5"/>
      <c r="I73" s="40"/>
      <c r="J73" s="40"/>
      <c r="K73" s="40"/>
      <c r="L73" s="6">
        <v>20.9</v>
      </c>
      <c r="M73" s="6">
        <v>9.1999999999999993</v>
      </c>
      <c r="N73" s="59">
        <f>(L73-M73)*0.8/30*6</f>
        <v>1.8719999999999999</v>
      </c>
    </row>
    <row r="74" spans="1:14">
      <c r="A74" s="44" t="s">
        <v>238</v>
      </c>
      <c r="B74" s="44" t="s">
        <v>200</v>
      </c>
      <c r="C74" s="35"/>
      <c r="D74" s="35"/>
      <c r="E74" s="4">
        <v>44985</v>
      </c>
      <c r="F74" s="40"/>
      <c r="G74" s="40"/>
      <c r="H74" s="5"/>
      <c r="I74" s="40"/>
      <c r="J74" s="40">
        <f>29</f>
        <v>29</v>
      </c>
      <c r="K74" s="40"/>
      <c r="L74" s="6">
        <v>148</v>
      </c>
      <c r="M74" s="61">
        <f>7+63.2</f>
        <v>70.2</v>
      </c>
      <c r="N74" s="59">
        <f t="shared" ref="N74:N86" si="3">(L74-M74)*0.8</f>
        <v>62.24</v>
      </c>
    </row>
    <row r="75" spans="1:14">
      <c r="A75" s="44" t="s">
        <v>215</v>
      </c>
      <c r="B75" s="44" t="s">
        <v>200</v>
      </c>
      <c r="C75" s="4"/>
      <c r="D75" s="4">
        <v>44944</v>
      </c>
      <c r="E75" s="35">
        <v>44944</v>
      </c>
      <c r="F75" s="40"/>
      <c r="G75" s="5"/>
      <c r="H75" s="5"/>
      <c r="I75" s="5"/>
      <c r="J75" s="5">
        <f>2.9*3</f>
        <v>8.6999999999999993</v>
      </c>
      <c r="K75" s="5"/>
      <c r="L75" s="6">
        <v>37.5</v>
      </c>
      <c r="M75" s="61">
        <f>6.85*3</f>
        <v>20.549999999999997</v>
      </c>
      <c r="N75" s="6">
        <f t="shared" si="3"/>
        <v>13.560000000000002</v>
      </c>
    </row>
    <row r="76" spans="1:14">
      <c r="A76" s="44" t="s">
        <v>215</v>
      </c>
      <c r="B76" s="44" t="s">
        <v>200</v>
      </c>
      <c r="C76" s="35"/>
      <c r="D76" s="35"/>
      <c r="E76" s="4">
        <v>44999</v>
      </c>
      <c r="F76" s="40"/>
      <c r="G76" s="40"/>
      <c r="H76" s="5"/>
      <c r="I76" s="40"/>
      <c r="J76" s="40">
        <v>2.9</v>
      </c>
      <c r="K76" s="40"/>
      <c r="L76" s="6">
        <v>10</v>
      </c>
      <c r="M76" s="61">
        <v>4.5</v>
      </c>
      <c r="N76" s="59">
        <f t="shared" si="3"/>
        <v>4.4000000000000004</v>
      </c>
    </row>
    <row r="77" spans="1:14">
      <c r="A77" s="44" t="s">
        <v>215</v>
      </c>
      <c r="B77" s="44" t="s">
        <v>200</v>
      </c>
      <c r="C77" s="35"/>
      <c r="D77" s="35"/>
      <c r="E77" s="4">
        <v>45008</v>
      </c>
      <c r="F77" s="40"/>
      <c r="G77" s="40"/>
      <c r="H77" s="5"/>
      <c r="I77" s="40"/>
      <c r="J77" s="40">
        <v>2.9</v>
      </c>
      <c r="K77" s="40"/>
      <c r="L77" s="6">
        <v>10</v>
      </c>
      <c r="M77" s="6">
        <v>4.5</v>
      </c>
      <c r="N77" s="59">
        <f t="shared" si="3"/>
        <v>4.4000000000000004</v>
      </c>
    </row>
    <row r="78" spans="1:14">
      <c r="A78" s="44" t="s">
        <v>215</v>
      </c>
      <c r="B78" s="44" t="s">
        <v>200</v>
      </c>
      <c r="C78" s="35"/>
      <c r="D78" s="35"/>
      <c r="E78" s="4">
        <v>45012</v>
      </c>
      <c r="F78" s="40"/>
      <c r="G78" s="40"/>
      <c r="H78" s="5"/>
      <c r="I78" s="40"/>
      <c r="J78" s="40">
        <v>2.9</v>
      </c>
      <c r="K78" s="40"/>
      <c r="L78" s="6">
        <v>22.8</v>
      </c>
      <c r="M78" s="6">
        <f>8.9+3.9</f>
        <v>12.8</v>
      </c>
      <c r="N78" s="59">
        <f t="shared" si="3"/>
        <v>8</v>
      </c>
    </row>
    <row r="79" spans="1:14">
      <c r="A79" s="44" t="s">
        <v>256</v>
      </c>
      <c r="B79" s="44" t="s">
        <v>200</v>
      </c>
      <c r="C79" s="35"/>
      <c r="D79" s="35"/>
      <c r="E79" s="4">
        <v>44994</v>
      </c>
      <c r="F79" s="40"/>
      <c r="G79" s="40"/>
      <c r="H79" s="5"/>
      <c r="I79" s="40"/>
      <c r="J79" s="40">
        <f>2.9*11</f>
        <v>31.9</v>
      </c>
      <c r="K79" s="40"/>
      <c r="L79" s="6">
        <v>126</v>
      </c>
      <c r="M79" s="6">
        <f>7.9+7*4.5+2*6.85+7.1</f>
        <v>60.199999999999996</v>
      </c>
      <c r="N79" s="59">
        <f t="shared" si="3"/>
        <v>52.640000000000015</v>
      </c>
    </row>
    <row r="80" spans="1:14">
      <c r="A80" s="44" t="s">
        <v>259</v>
      </c>
      <c r="B80" s="44" t="s">
        <v>200</v>
      </c>
      <c r="C80" s="35"/>
      <c r="D80" s="35"/>
      <c r="E80" s="4">
        <v>45006</v>
      </c>
      <c r="F80" s="40"/>
      <c r="G80" s="40"/>
      <c r="H80" s="5"/>
      <c r="I80" s="40"/>
      <c r="J80" s="40">
        <f>2.9*2</f>
        <v>5.8</v>
      </c>
      <c r="K80" s="40"/>
      <c r="L80" s="6">
        <f>9.9*2</f>
        <v>19.8</v>
      </c>
      <c r="M80" s="6">
        <f>7</f>
        <v>7</v>
      </c>
      <c r="N80" s="59">
        <f t="shared" si="3"/>
        <v>10.240000000000002</v>
      </c>
    </row>
    <row r="81" spans="1:14">
      <c r="A81" s="44" t="s">
        <v>208</v>
      </c>
      <c r="B81" s="44" t="s">
        <v>200</v>
      </c>
      <c r="C81" s="4"/>
      <c r="D81" s="4">
        <v>44935</v>
      </c>
      <c r="E81" s="35">
        <v>44935</v>
      </c>
      <c r="F81" s="40"/>
      <c r="G81" s="5"/>
      <c r="H81" s="5"/>
      <c r="I81" s="5"/>
      <c r="J81" s="5">
        <v>6.8</v>
      </c>
      <c r="K81" s="5"/>
      <c r="L81" s="6">
        <v>35.799999999999997</v>
      </c>
      <c r="M81" s="61">
        <f>8.9*2</f>
        <v>17.8</v>
      </c>
      <c r="N81" s="6">
        <f t="shared" si="3"/>
        <v>14.399999999999999</v>
      </c>
    </row>
    <row r="82" spans="1:14">
      <c r="A82" s="44" t="s">
        <v>201</v>
      </c>
      <c r="B82" s="44" t="s">
        <v>200</v>
      </c>
      <c r="C82" s="4"/>
      <c r="D82" s="4"/>
      <c r="E82" s="35">
        <v>44909</v>
      </c>
      <c r="F82" s="40"/>
      <c r="G82" s="5"/>
      <c r="H82" s="5">
        <f>0.75+2.9</f>
        <v>3.65</v>
      </c>
      <c r="I82" s="5"/>
      <c r="J82" s="5"/>
      <c r="K82" s="5"/>
      <c r="L82" s="6">
        <v>25.9</v>
      </c>
      <c r="M82" s="61">
        <v>16</v>
      </c>
      <c r="N82" s="6">
        <f t="shared" si="3"/>
        <v>7.919999999999999</v>
      </c>
    </row>
    <row r="83" spans="1:14">
      <c r="A83" s="44" t="s">
        <v>264</v>
      </c>
      <c r="B83" s="44" t="s">
        <v>200</v>
      </c>
      <c r="C83" s="35"/>
      <c r="D83" s="35"/>
      <c r="E83" s="4">
        <v>45008</v>
      </c>
      <c r="F83" s="40"/>
      <c r="G83" s="40"/>
      <c r="H83" s="5"/>
      <c r="I83" s="40"/>
      <c r="J83" s="40">
        <f>2.9*17</f>
        <v>49.3</v>
      </c>
      <c r="K83" s="40"/>
      <c r="L83" s="6">
        <v>268.3</v>
      </c>
      <c r="M83" s="6">
        <f>3.5*2+7*4.5+4*6.85+7.1+7.9+19.5</f>
        <v>100.4</v>
      </c>
      <c r="N83" s="59">
        <f t="shared" si="3"/>
        <v>134.32000000000002</v>
      </c>
    </row>
    <row r="84" spans="1:14">
      <c r="A84" s="44" t="s">
        <v>264</v>
      </c>
      <c r="B84" s="44" t="s">
        <v>200</v>
      </c>
      <c r="C84" s="35"/>
      <c r="D84" s="35"/>
      <c r="E84" s="4">
        <v>45009</v>
      </c>
      <c r="F84" s="40"/>
      <c r="G84" s="40"/>
      <c r="H84" s="5"/>
      <c r="I84" s="40"/>
      <c r="J84" s="40">
        <f>2.9</f>
        <v>2.9</v>
      </c>
      <c r="K84" s="40"/>
      <c r="L84" s="6">
        <v>11.9</v>
      </c>
      <c r="M84" s="6">
        <v>4.5</v>
      </c>
      <c r="N84" s="59">
        <f t="shared" si="3"/>
        <v>5.9200000000000008</v>
      </c>
    </row>
    <row r="85" spans="1:14">
      <c r="A85" s="44" t="s">
        <v>262</v>
      </c>
      <c r="B85" s="44" t="s">
        <v>200</v>
      </c>
      <c r="C85" s="35"/>
      <c r="D85" s="35"/>
      <c r="E85" s="4">
        <v>45008</v>
      </c>
      <c r="F85" s="40"/>
      <c r="G85" s="40"/>
      <c r="H85" s="5"/>
      <c r="I85" s="40"/>
      <c r="J85" s="40">
        <f>2.9*9</f>
        <v>26.099999999999998</v>
      </c>
      <c r="K85" s="40"/>
      <c r="L85" s="6">
        <v>118.1</v>
      </c>
      <c r="M85" s="6">
        <f>3*3.5+3*4.5+6.85+7.1+9.2</f>
        <v>47.150000000000006</v>
      </c>
      <c r="N85" s="59">
        <f t="shared" si="3"/>
        <v>56.759999999999991</v>
      </c>
    </row>
    <row r="86" spans="1:14">
      <c r="A86" s="44" t="s">
        <v>196</v>
      </c>
      <c r="B86" s="44" t="s">
        <v>200</v>
      </c>
      <c r="C86" s="4"/>
      <c r="D86" s="4"/>
      <c r="E86" s="35">
        <v>44890</v>
      </c>
      <c r="F86" s="40"/>
      <c r="G86" s="5"/>
      <c r="H86" s="5">
        <f>1.75+2.9</f>
        <v>4.6500000000000004</v>
      </c>
      <c r="I86" s="5"/>
      <c r="J86" s="5"/>
      <c r="K86" s="5"/>
      <c r="L86" s="6">
        <f>42.9+4.9</f>
        <v>47.8</v>
      </c>
      <c r="M86" s="61">
        <f>30.7+3.9</f>
        <v>34.6</v>
      </c>
      <c r="N86" s="6">
        <f t="shared" si="3"/>
        <v>10.559999999999997</v>
      </c>
    </row>
    <row r="87" spans="1:14">
      <c r="A87" s="44" t="s">
        <v>287</v>
      </c>
      <c r="B87" s="44" t="s">
        <v>200</v>
      </c>
      <c r="C87" s="35"/>
      <c r="D87" s="35"/>
      <c r="E87" s="4">
        <v>45036</v>
      </c>
      <c r="F87" s="40"/>
      <c r="G87" s="40"/>
      <c r="H87" s="5"/>
      <c r="I87" s="40"/>
      <c r="J87" s="40"/>
      <c r="K87" s="40"/>
      <c r="L87" s="6">
        <v>47.8</v>
      </c>
      <c r="M87" s="6">
        <v>34.6</v>
      </c>
      <c r="N87" s="59">
        <f>(L87-M87)*0.8/30*10</f>
        <v>3.5199999999999991</v>
      </c>
    </row>
    <row r="88" spans="1:14">
      <c r="A88" s="44" t="s">
        <v>139</v>
      </c>
      <c r="B88" s="44" t="s">
        <v>200</v>
      </c>
      <c r="C88" s="35"/>
      <c r="D88" s="35"/>
      <c r="E88" s="4">
        <v>44988</v>
      </c>
      <c r="F88" s="40"/>
      <c r="G88" s="40"/>
      <c r="H88" s="5"/>
      <c r="I88" s="40"/>
      <c r="J88" s="40">
        <f>2.9*2</f>
        <v>5.8</v>
      </c>
      <c r="K88" s="40"/>
      <c r="L88" s="6">
        <v>41.8</v>
      </c>
      <c r="M88" s="6">
        <f>9.2*2</f>
        <v>18.399999999999999</v>
      </c>
      <c r="N88" s="59">
        <f t="shared" ref="N88:N93" si="4">(L88-M88)*0.8</f>
        <v>18.72</v>
      </c>
    </row>
    <row r="89" spans="1:14">
      <c r="A89" s="44" t="s">
        <v>236</v>
      </c>
      <c r="B89" s="44" t="s">
        <v>200</v>
      </c>
      <c r="C89" s="35"/>
      <c r="D89" s="35"/>
      <c r="E89" s="4">
        <v>44984</v>
      </c>
      <c r="F89" s="40"/>
      <c r="G89" s="40"/>
      <c r="H89" s="5"/>
      <c r="I89" s="40"/>
      <c r="J89" s="40">
        <f>4*2.9</f>
        <v>11.6</v>
      </c>
      <c r="K89" s="40"/>
      <c r="L89" s="6">
        <v>59.5</v>
      </c>
      <c r="M89" s="61">
        <f>7+9.2+6.3+3.9</f>
        <v>26.4</v>
      </c>
      <c r="N89" s="59">
        <f t="shared" si="4"/>
        <v>26.480000000000004</v>
      </c>
    </row>
    <row r="90" spans="1:14">
      <c r="A90" s="44" t="s">
        <v>222</v>
      </c>
      <c r="B90" s="44" t="s">
        <v>200</v>
      </c>
      <c r="C90" s="4"/>
      <c r="D90" s="4"/>
      <c r="E90" s="35">
        <v>44950</v>
      </c>
      <c r="F90" s="40"/>
      <c r="G90" s="5"/>
      <c r="H90" s="5"/>
      <c r="I90" s="5"/>
      <c r="J90" s="5">
        <f>2.9</f>
        <v>2.9</v>
      </c>
      <c r="K90" s="5"/>
      <c r="L90" s="6">
        <v>25.9</v>
      </c>
      <c r="M90" s="65">
        <f>16</f>
        <v>16</v>
      </c>
      <c r="N90" s="59">
        <f t="shared" si="4"/>
        <v>7.919999999999999</v>
      </c>
    </row>
    <row r="91" spans="1:14">
      <c r="A91" s="44" t="s">
        <v>222</v>
      </c>
      <c r="B91" s="44" t="s">
        <v>200</v>
      </c>
      <c r="C91" s="35"/>
      <c r="D91" s="35"/>
      <c r="E91" s="4">
        <v>45012</v>
      </c>
      <c r="F91" s="40"/>
      <c r="G91" s="40"/>
      <c r="H91" s="5"/>
      <c r="I91" s="40"/>
      <c r="J91" s="40">
        <f>2.9*7</f>
        <v>20.3</v>
      </c>
      <c r="K91" s="40"/>
      <c r="L91" s="6">
        <v>93.3</v>
      </c>
      <c r="M91" s="6">
        <f>3.5*3+3*6.85+7.9</f>
        <v>38.949999999999996</v>
      </c>
      <c r="N91" s="59">
        <f t="shared" si="4"/>
        <v>43.480000000000004</v>
      </c>
    </row>
    <row r="92" spans="1:14">
      <c r="A92" s="52" t="s">
        <v>174</v>
      </c>
      <c r="B92" s="52" t="s">
        <v>200</v>
      </c>
      <c r="C92" s="24"/>
      <c r="D92" s="24"/>
      <c r="E92" s="57">
        <v>44980</v>
      </c>
      <c r="F92" s="40"/>
      <c r="G92" s="5"/>
      <c r="H92" s="25"/>
      <c r="I92" s="25"/>
      <c r="J92" s="25">
        <f>2.9*2</f>
        <v>5.8</v>
      </c>
      <c r="K92" s="25"/>
      <c r="L92" s="27">
        <v>35.799999999999997</v>
      </c>
      <c r="M92" s="91">
        <f>16.05</f>
        <v>16.05</v>
      </c>
      <c r="N92" s="78">
        <f t="shared" si="4"/>
        <v>15.799999999999997</v>
      </c>
    </row>
    <row r="93" spans="1:14">
      <c r="A93" s="52" t="s">
        <v>254</v>
      </c>
      <c r="B93" s="52" t="s">
        <v>200</v>
      </c>
      <c r="C93" s="57"/>
      <c r="D93" s="57"/>
      <c r="E93" s="24">
        <v>45005</v>
      </c>
      <c r="F93" s="48"/>
      <c r="G93" s="48"/>
      <c r="H93" s="25"/>
      <c r="I93" s="48"/>
      <c r="J93" s="48">
        <f>2.9*12</f>
        <v>34.799999999999997</v>
      </c>
      <c r="K93" s="48"/>
      <c r="L93" s="27">
        <f>160</f>
        <v>160</v>
      </c>
      <c r="M93" s="27">
        <f>11*6.85+13.1</f>
        <v>88.449999999999989</v>
      </c>
      <c r="N93" s="78">
        <f t="shared" si="4"/>
        <v>57.240000000000009</v>
      </c>
    </row>
    <row r="94" spans="1:14">
      <c r="A94" s="44" t="s">
        <v>288</v>
      </c>
      <c r="B94" s="44" t="s">
        <v>200</v>
      </c>
      <c r="C94" s="35"/>
      <c r="D94" s="35"/>
      <c r="E94" s="4">
        <v>45034</v>
      </c>
      <c r="F94" s="40"/>
      <c r="G94" s="40"/>
      <c r="H94" s="5"/>
      <c r="I94" s="40"/>
      <c r="J94" s="40"/>
      <c r="K94" s="40"/>
      <c r="L94" s="6">
        <v>174.9</v>
      </c>
      <c r="M94" s="6">
        <v>79.3</v>
      </c>
      <c r="N94" s="59">
        <f>(L94-M94)*0.8/30*12</f>
        <v>30.592000000000006</v>
      </c>
    </row>
    <row r="95" spans="1:14">
      <c r="A95" s="44" t="s">
        <v>217</v>
      </c>
      <c r="B95" s="44" t="s">
        <v>200</v>
      </c>
      <c r="C95" s="4"/>
      <c r="D95" s="4"/>
      <c r="E95" s="35">
        <v>44942</v>
      </c>
      <c r="F95" s="40"/>
      <c r="G95" s="5"/>
      <c r="H95" s="5"/>
      <c r="I95" s="5"/>
      <c r="J95" s="5">
        <v>2.9</v>
      </c>
      <c r="K95" s="5"/>
      <c r="L95" s="6">
        <v>29</v>
      </c>
      <c r="M95" s="61">
        <v>13.1</v>
      </c>
      <c r="N95" s="6">
        <f t="shared" ref="N95:N100" si="5">(L95-M95)*0.8</f>
        <v>12.72</v>
      </c>
    </row>
    <row r="96" spans="1:14">
      <c r="A96" s="44" t="s">
        <v>124</v>
      </c>
      <c r="B96" s="44" t="s">
        <v>200</v>
      </c>
      <c r="C96" s="4"/>
      <c r="D96" s="4">
        <v>44938</v>
      </c>
      <c r="E96" s="35">
        <v>44938</v>
      </c>
      <c r="F96" s="40"/>
      <c r="G96" s="5"/>
      <c r="H96" s="5"/>
      <c r="I96" s="5"/>
      <c r="J96" s="5">
        <f>21*2.9+1.5</f>
        <v>62.4</v>
      </c>
      <c r="K96" s="5"/>
      <c r="L96" s="6">
        <f>16*13.5+5*19.9</f>
        <v>315.5</v>
      </c>
      <c r="M96" s="61">
        <f>16*4.5+5*7.1</f>
        <v>107.5</v>
      </c>
      <c r="N96" s="6">
        <f t="shared" si="5"/>
        <v>166.4</v>
      </c>
    </row>
    <row r="97" spans="1:14">
      <c r="A97" s="44" t="s">
        <v>124</v>
      </c>
      <c r="B97" s="44" t="s">
        <v>200</v>
      </c>
      <c r="C97" s="4"/>
      <c r="D97" s="4">
        <v>44952</v>
      </c>
      <c r="E97" s="35">
        <v>44952</v>
      </c>
      <c r="F97" s="40"/>
      <c r="G97" s="5"/>
      <c r="H97" s="5"/>
      <c r="I97" s="5"/>
      <c r="J97" s="5">
        <f>21*2.9</f>
        <v>60.9</v>
      </c>
      <c r="K97" s="5"/>
      <c r="L97" s="6">
        <f>4*13.5+2*19.9+29</f>
        <v>122.8</v>
      </c>
      <c r="M97" s="61">
        <f>4*4.5+2*7.1+13.1</f>
        <v>45.300000000000004</v>
      </c>
      <c r="N97" s="6">
        <f t="shared" si="5"/>
        <v>62</v>
      </c>
    </row>
    <row r="98" spans="1:14">
      <c r="A98" s="44" t="s">
        <v>187</v>
      </c>
      <c r="B98" s="44" t="s">
        <v>200</v>
      </c>
      <c r="C98" s="4"/>
      <c r="D98" s="4"/>
      <c r="E98" s="35">
        <v>44883</v>
      </c>
      <c r="F98" s="40"/>
      <c r="G98" s="5"/>
      <c r="H98" s="5">
        <v>4.6500000000000004</v>
      </c>
      <c r="I98" s="5"/>
      <c r="J98" s="5"/>
      <c r="K98" s="5"/>
      <c r="L98" s="6">
        <v>47.9</v>
      </c>
      <c r="M98" s="61">
        <v>19</v>
      </c>
      <c r="N98" s="6">
        <f t="shared" si="5"/>
        <v>23.12</v>
      </c>
    </row>
    <row r="99" spans="1:14">
      <c r="A99" s="44" t="s">
        <v>16</v>
      </c>
      <c r="B99" s="44" t="s">
        <v>200</v>
      </c>
      <c r="C99" s="4"/>
      <c r="D99" s="4"/>
      <c r="E99" s="35">
        <v>44807</v>
      </c>
      <c r="F99" s="40"/>
      <c r="G99" s="5"/>
      <c r="H99" s="5">
        <f>0.75+2.9</f>
        <v>3.65</v>
      </c>
      <c r="I99" s="5"/>
      <c r="J99" s="5"/>
      <c r="K99" s="5"/>
      <c r="L99" s="6">
        <f>25.9+4.9</f>
        <v>30.799999999999997</v>
      </c>
      <c r="M99" s="61">
        <f>16+3.9</f>
        <v>19.899999999999999</v>
      </c>
      <c r="N99" s="6">
        <f t="shared" si="5"/>
        <v>8.7199999999999989</v>
      </c>
    </row>
    <row r="100" spans="1:14">
      <c r="A100" s="44" t="s">
        <v>16</v>
      </c>
      <c r="B100" s="44" t="s">
        <v>200</v>
      </c>
      <c r="C100" s="4"/>
      <c r="D100" s="4"/>
      <c r="E100" s="35">
        <v>44978</v>
      </c>
      <c r="F100" s="40"/>
      <c r="G100" s="5"/>
      <c r="H100" s="5"/>
      <c r="I100" s="5"/>
      <c r="J100" s="5">
        <f>2.9*4</f>
        <v>11.6</v>
      </c>
      <c r="K100" s="5"/>
      <c r="L100" s="6">
        <v>59.6</v>
      </c>
      <c r="M100" s="65">
        <f>6.85*4</f>
        <v>27.4</v>
      </c>
      <c r="N100" s="59">
        <f t="shared" si="5"/>
        <v>25.760000000000005</v>
      </c>
    </row>
    <row r="101" spans="1:14" hidden="1">
      <c r="A101" s="2" t="s">
        <v>10</v>
      </c>
      <c r="B101" s="2"/>
      <c r="C101" s="4">
        <v>41852</v>
      </c>
      <c r="D101" s="4"/>
      <c r="E101" s="4">
        <v>41852</v>
      </c>
      <c r="F101" s="5"/>
      <c r="G101" s="49"/>
      <c r="H101" s="5">
        <v>10</v>
      </c>
      <c r="I101" s="5"/>
      <c r="J101" s="5"/>
      <c r="K101" s="5">
        <f>F101+H101+J101</f>
        <v>10</v>
      </c>
      <c r="L101" s="6">
        <v>40</v>
      </c>
      <c r="M101" s="61">
        <v>25</v>
      </c>
      <c r="N101" s="6">
        <f t="shared" ref="N101:N135" si="6">(L101-M101)*0.7</f>
        <v>10.5</v>
      </c>
    </row>
    <row r="102" spans="1:14" hidden="1">
      <c r="A102" s="2" t="s">
        <v>17</v>
      </c>
      <c r="B102" s="2"/>
      <c r="C102" s="4"/>
      <c r="D102" s="4"/>
      <c r="E102" s="4">
        <v>42209</v>
      </c>
      <c r="F102" s="5"/>
      <c r="G102" s="49"/>
      <c r="H102" s="5"/>
      <c r="I102" s="5"/>
      <c r="J102" s="5"/>
      <c r="K102" s="5"/>
      <c r="L102" s="6">
        <v>90</v>
      </c>
      <c r="M102" s="61">
        <v>25</v>
      </c>
      <c r="N102" s="6">
        <f t="shared" si="6"/>
        <v>45.5</v>
      </c>
    </row>
    <row r="103" spans="1:14" hidden="1">
      <c r="A103" s="2" t="s">
        <v>15</v>
      </c>
      <c r="B103" s="2"/>
      <c r="C103" s="4">
        <v>42272</v>
      </c>
      <c r="D103" s="4"/>
      <c r="E103" s="4">
        <v>42275</v>
      </c>
      <c r="F103" s="5">
        <v>50</v>
      </c>
      <c r="G103" s="49"/>
      <c r="H103" s="5"/>
      <c r="I103" s="5">
        <f>25/30*3</f>
        <v>2.5</v>
      </c>
      <c r="J103" s="5"/>
      <c r="K103" s="5">
        <f>F103+H103+J103</f>
        <v>50</v>
      </c>
      <c r="L103" s="6">
        <v>40</v>
      </c>
      <c r="M103" s="61">
        <v>25</v>
      </c>
      <c r="N103" s="6">
        <f t="shared" si="6"/>
        <v>10.5</v>
      </c>
    </row>
    <row r="104" spans="1:14" hidden="1">
      <c r="A104" s="2" t="s">
        <v>18</v>
      </c>
      <c r="B104" s="2"/>
      <c r="C104" s="2"/>
      <c r="D104" s="2"/>
      <c r="E104" s="4">
        <v>42335</v>
      </c>
      <c r="F104" s="5"/>
      <c r="G104" s="49"/>
      <c r="H104" s="5"/>
      <c r="I104" s="5"/>
      <c r="J104" s="5"/>
      <c r="K104" s="5"/>
      <c r="L104" s="6">
        <v>90</v>
      </c>
      <c r="M104" s="61">
        <v>25</v>
      </c>
      <c r="N104" s="6">
        <f t="shared" si="6"/>
        <v>45.5</v>
      </c>
    </row>
    <row r="105" spans="1:14" hidden="1">
      <c r="A105" s="2" t="s">
        <v>16</v>
      </c>
      <c r="B105" s="2"/>
      <c r="C105" s="2"/>
      <c r="D105" s="2"/>
      <c r="E105" s="4">
        <v>42396</v>
      </c>
      <c r="F105" s="5"/>
      <c r="G105" s="49"/>
      <c r="H105" s="5"/>
      <c r="I105" s="5"/>
      <c r="J105" s="5"/>
      <c r="K105" s="5"/>
      <c r="L105" s="6">
        <v>50</v>
      </c>
      <c r="M105" s="61">
        <v>22</v>
      </c>
      <c r="N105" s="6">
        <f t="shared" si="6"/>
        <v>19.599999999999998</v>
      </c>
    </row>
    <row r="106" spans="1:14" hidden="1">
      <c r="A106" s="2" t="s">
        <v>23</v>
      </c>
      <c r="B106" s="2"/>
      <c r="C106" s="4">
        <v>42560</v>
      </c>
      <c r="D106" s="4"/>
      <c r="E106" s="4">
        <v>42571</v>
      </c>
      <c r="F106" s="5"/>
      <c r="G106" s="49"/>
      <c r="H106" s="5">
        <v>8.5</v>
      </c>
      <c r="I106" s="5">
        <f>25*41/30</f>
        <v>34.166666666666664</v>
      </c>
      <c r="J106" s="5"/>
      <c r="K106" s="5"/>
      <c r="L106" s="6">
        <v>107.5</v>
      </c>
      <c r="M106" s="61">
        <v>25</v>
      </c>
      <c r="N106" s="6">
        <f t="shared" si="6"/>
        <v>57.749999999999993</v>
      </c>
    </row>
    <row r="107" spans="1:14" hidden="1">
      <c r="A107" s="2" t="s">
        <v>22</v>
      </c>
      <c r="B107" s="2"/>
      <c r="C107" s="4">
        <v>42546</v>
      </c>
      <c r="D107" s="4"/>
      <c r="E107" s="4">
        <v>42571</v>
      </c>
      <c r="F107" s="5"/>
      <c r="G107" s="49"/>
      <c r="H107" s="5">
        <f>6.9+8.5</f>
        <v>15.4</v>
      </c>
      <c r="I107" s="5">
        <f>25*25/30</f>
        <v>20.833333333333332</v>
      </c>
      <c r="J107" s="5"/>
      <c r="K107" s="5"/>
      <c r="L107" s="6">
        <v>120</v>
      </c>
      <c r="M107" s="61">
        <v>25</v>
      </c>
      <c r="N107" s="6">
        <f t="shared" si="6"/>
        <v>66.5</v>
      </c>
    </row>
    <row r="108" spans="1:14" hidden="1">
      <c r="A108" s="2" t="s">
        <v>24</v>
      </c>
      <c r="B108" s="2"/>
      <c r="C108" s="4">
        <v>42530</v>
      </c>
      <c r="D108" s="4"/>
      <c r="E108" s="4">
        <v>42579</v>
      </c>
      <c r="F108" s="5"/>
      <c r="G108" s="49"/>
      <c r="H108" s="5">
        <f>8.5+6.9</f>
        <v>15.4</v>
      </c>
      <c r="I108" s="5">
        <f>25*52/30</f>
        <v>43.333333333333336</v>
      </c>
      <c r="J108" s="5"/>
      <c r="K108" s="5"/>
      <c r="L108" s="6">
        <v>90</v>
      </c>
      <c r="M108" s="61">
        <v>25</v>
      </c>
      <c r="N108" s="6">
        <f t="shared" si="6"/>
        <v>45.5</v>
      </c>
    </row>
    <row r="109" spans="1:14" hidden="1">
      <c r="A109" s="2" t="s">
        <v>26</v>
      </c>
      <c r="B109" s="2"/>
      <c r="C109" s="4">
        <v>42633</v>
      </c>
      <c r="D109" s="4"/>
      <c r="E109" s="4">
        <v>42644</v>
      </c>
      <c r="F109" s="5"/>
      <c r="G109" s="49"/>
      <c r="H109" s="5">
        <v>8.17</v>
      </c>
      <c r="I109" s="5">
        <f>25/30*10</f>
        <v>8.3333333333333339</v>
      </c>
      <c r="J109" s="5"/>
      <c r="K109" s="5"/>
      <c r="L109" s="6">
        <v>70</v>
      </c>
      <c r="M109" s="61">
        <v>25</v>
      </c>
      <c r="N109" s="6">
        <f t="shared" si="6"/>
        <v>31.499999999999996</v>
      </c>
    </row>
    <row r="110" spans="1:14" hidden="1">
      <c r="A110" s="2" t="s">
        <v>27</v>
      </c>
      <c r="B110" s="2"/>
      <c r="C110" s="4">
        <v>42656</v>
      </c>
      <c r="D110" s="4"/>
      <c r="E110" s="4">
        <v>42705</v>
      </c>
      <c r="F110" s="5"/>
      <c r="G110" s="49"/>
      <c r="H110" s="5">
        <v>8.17</v>
      </c>
      <c r="I110" s="5">
        <f>M110/30*47</f>
        <v>39.166666666666671</v>
      </c>
      <c r="J110" s="5"/>
      <c r="K110" s="5"/>
      <c r="L110" s="6">
        <v>40</v>
      </c>
      <c r="M110" s="61">
        <v>25</v>
      </c>
      <c r="N110" s="6">
        <f t="shared" si="6"/>
        <v>10.5</v>
      </c>
    </row>
    <row r="111" spans="1:14" hidden="1">
      <c r="A111" s="2" t="s">
        <v>29</v>
      </c>
      <c r="B111" s="2"/>
      <c r="C111" s="4">
        <v>42683</v>
      </c>
      <c r="D111" s="4"/>
      <c r="E111" s="4">
        <v>42718</v>
      </c>
      <c r="F111" s="5"/>
      <c r="G111" s="49"/>
      <c r="H111" s="5">
        <v>8.9700000000000006</v>
      </c>
      <c r="I111" s="5">
        <f>M111/30*35</f>
        <v>42</v>
      </c>
      <c r="J111" s="5"/>
      <c r="K111" s="5"/>
      <c r="L111" s="6">
        <f>105</f>
        <v>105</v>
      </c>
      <c r="M111" s="61">
        <v>36</v>
      </c>
      <c r="N111" s="6">
        <f t="shared" si="6"/>
        <v>48.3</v>
      </c>
    </row>
    <row r="112" spans="1:14" hidden="1">
      <c r="A112" s="2" t="s">
        <v>28</v>
      </c>
      <c r="B112" s="2"/>
      <c r="C112" s="4">
        <v>42711</v>
      </c>
      <c r="D112" s="4"/>
      <c r="E112" s="4">
        <v>42734</v>
      </c>
      <c r="F112" s="5"/>
      <c r="G112" s="49"/>
      <c r="H112" s="5">
        <v>8.17</v>
      </c>
      <c r="I112" s="5">
        <f>M112/30*23</f>
        <v>19.166666666666668</v>
      </c>
      <c r="J112" s="5"/>
      <c r="K112" s="5"/>
      <c r="L112" s="6">
        <v>40</v>
      </c>
      <c r="M112" s="61">
        <v>25</v>
      </c>
      <c r="N112" s="6">
        <f t="shared" si="6"/>
        <v>10.5</v>
      </c>
    </row>
    <row r="113" spans="1:15" hidden="1">
      <c r="A113" s="2" t="s">
        <v>30</v>
      </c>
      <c r="B113" s="2"/>
      <c r="C113" s="4">
        <v>42732</v>
      </c>
      <c r="D113" s="4"/>
      <c r="E113" s="4">
        <v>42759</v>
      </c>
      <c r="F113" s="5"/>
      <c r="G113" s="49"/>
      <c r="H113" s="5">
        <v>18.8</v>
      </c>
      <c r="I113" s="5">
        <f>M113/30*27</f>
        <v>23.400000000000002</v>
      </c>
      <c r="J113" s="5"/>
      <c r="K113" s="5"/>
      <c r="L113" s="6">
        <v>90</v>
      </c>
      <c r="M113" s="61">
        <v>26</v>
      </c>
      <c r="N113" s="6">
        <f t="shared" si="6"/>
        <v>44.8</v>
      </c>
    </row>
    <row r="114" spans="1:15" hidden="1">
      <c r="A114" s="2" t="s">
        <v>31</v>
      </c>
      <c r="B114" s="2"/>
      <c r="C114" s="4">
        <v>42735</v>
      </c>
      <c r="D114" s="4"/>
      <c r="E114" s="4">
        <v>42782</v>
      </c>
      <c r="F114" s="5">
        <v>50</v>
      </c>
      <c r="G114" s="49"/>
      <c r="H114" s="5">
        <v>20.63</v>
      </c>
      <c r="I114" s="5">
        <f>M114/30*46</f>
        <v>42.933333333333337</v>
      </c>
      <c r="J114" s="5"/>
      <c r="K114" s="5"/>
      <c r="L114" s="6">
        <v>92</v>
      </c>
      <c r="M114" s="61">
        <v>28</v>
      </c>
      <c r="N114" s="6">
        <f t="shared" si="6"/>
        <v>44.8</v>
      </c>
    </row>
    <row r="115" spans="1:15" hidden="1">
      <c r="A115" s="2" t="s">
        <v>32</v>
      </c>
      <c r="B115" s="2"/>
      <c r="C115" s="4">
        <v>42857</v>
      </c>
      <c r="D115" s="4"/>
      <c r="E115" s="4">
        <v>42866</v>
      </c>
      <c r="F115" s="5"/>
      <c r="G115" s="49"/>
      <c r="H115" s="5"/>
      <c r="I115" s="5">
        <f>23/30*9</f>
        <v>6.9</v>
      </c>
      <c r="J115" s="5">
        <f>60*0.7</f>
        <v>42</v>
      </c>
      <c r="K115" s="5"/>
      <c r="L115" s="6">
        <v>60</v>
      </c>
      <c r="M115" s="61">
        <v>23</v>
      </c>
      <c r="N115" s="6">
        <f t="shared" si="6"/>
        <v>25.9</v>
      </c>
    </row>
    <row r="116" spans="1:15" hidden="1">
      <c r="A116" s="2" t="s">
        <v>37</v>
      </c>
      <c r="B116" s="2"/>
      <c r="C116" s="4">
        <v>42891</v>
      </c>
      <c r="D116" s="4"/>
      <c r="E116" s="4">
        <v>42915</v>
      </c>
      <c r="F116" s="5"/>
      <c r="G116" s="49"/>
      <c r="H116" s="5">
        <v>6.83</v>
      </c>
      <c r="I116" s="5">
        <f>24/30*24</f>
        <v>19.200000000000003</v>
      </c>
      <c r="J116" s="5"/>
      <c r="K116" s="5"/>
      <c r="L116" s="6">
        <v>70</v>
      </c>
      <c r="M116" s="61">
        <v>24</v>
      </c>
      <c r="N116" s="6">
        <f t="shared" si="6"/>
        <v>32.199999999999996</v>
      </c>
    </row>
    <row r="117" spans="1:15" hidden="1">
      <c r="A117" s="2" t="s">
        <v>39</v>
      </c>
      <c r="B117" s="2"/>
      <c r="C117" s="4">
        <v>43081</v>
      </c>
      <c r="D117" s="4"/>
      <c r="E117" s="4">
        <v>43109</v>
      </c>
      <c r="F117" s="5"/>
      <c r="G117" s="49"/>
      <c r="H117" s="5">
        <v>9.83</v>
      </c>
      <c r="I117" s="5">
        <f>36/30*28</f>
        <v>33.6</v>
      </c>
      <c r="J117" s="5"/>
      <c r="K117" s="5"/>
      <c r="L117" s="6">
        <v>120</v>
      </c>
      <c r="M117" s="61">
        <v>36</v>
      </c>
      <c r="N117" s="6">
        <f t="shared" si="6"/>
        <v>58.8</v>
      </c>
    </row>
    <row r="118" spans="1:15" hidden="1">
      <c r="A118" s="22" t="s">
        <v>56</v>
      </c>
      <c r="B118" s="22"/>
      <c r="C118" s="4">
        <v>43361</v>
      </c>
      <c r="D118" s="4"/>
      <c r="E118" s="4">
        <v>43132</v>
      </c>
      <c r="F118" s="5"/>
      <c r="G118" s="49"/>
      <c r="H118" s="5">
        <v>14.11</v>
      </c>
      <c r="I118" s="5">
        <f>25*4+25/30*12</f>
        <v>110</v>
      </c>
      <c r="J118" s="5"/>
      <c r="K118" s="5"/>
      <c r="L118" s="6">
        <v>75</v>
      </c>
      <c r="M118" s="61">
        <v>25</v>
      </c>
      <c r="N118" s="6">
        <f t="shared" si="6"/>
        <v>35</v>
      </c>
    </row>
    <row r="119" spans="1:15" hidden="1">
      <c r="A119" s="2" t="s">
        <v>40</v>
      </c>
      <c r="B119" s="2"/>
      <c r="C119" s="4">
        <v>43106</v>
      </c>
      <c r="D119" s="4"/>
      <c r="E119" s="4">
        <v>43146</v>
      </c>
      <c r="F119" s="5"/>
      <c r="G119" s="49"/>
      <c r="H119" s="5">
        <v>8.2899999999999991</v>
      </c>
      <c r="I119" s="5">
        <f>25/30*39</f>
        <v>32.5</v>
      </c>
      <c r="J119" s="5"/>
      <c r="K119" s="5"/>
      <c r="L119" s="6">
        <v>70</v>
      </c>
      <c r="M119" s="61">
        <v>26</v>
      </c>
      <c r="N119" s="6">
        <f t="shared" si="6"/>
        <v>30.799999999999997</v>
      </c>
    </row>
    <row r="120" spans="1:15" hidden="1">
      <c r="A120" s="2" t="s">
        <v>44</v>
      </c>
      <c r="B120" s="2"/>
      <c r="C120" s="4">
        <v>43196</v>
      </c>
      <c r="D120" s="4"/>
      <c r="E120" s="4">
        <v>43250</v>
      </c>
      <c r="F120" s="5"/>
      <c r="G120" s="49"/>
      <c r="H120" s="5">
        <v>13.78</v>
      </c>
      <c r="I120" s="5">
        <f>25*24/30+25</f>
        <v>45</v>
      </c>
      <c r="J120" s="5"/>
      <c r="K120" s="5"/>
      <c r="L120" s="6">
        <f>60</f>
        <v>60</v>
      </c>
      <c r="M120" s="61">
        <v>25</v>
      </c>
      <c r="N120" s="6">
        <f t="shared" si="6"/>
        <v>24.5</v>
      </c>
    </row>
    <row r="121" spans="1:15" hidden="1">
      <c r="A121" s="22" t="s">
        <v>47</v>
      </c>
      <c r="B121" s="22"/>
      <c r="C121" s="4">
        <v>43355</v>
      </c>
      <c r="D121" s="4"/>
      <c r="E121" s="4">
        <v>43277</v>
      </c>
      <c r="F121" s="5"/>
      <c r="G121" s="49"/>
      <c r="H121" s="5">
        <v>19.98</v>
      </c>
      <c r="I121" s="5">
        <f>36*2+36/30*16</f>
        <v>91.2</v>
      </c>
      <c r="J121" s="5"/>
      <c r="K121" s="5"/>
      <c r="L121" s="6">
        <v>105</v>
      </c>
      <c r="M121" s="61">
        <v>36</v>
      </c>
      <c r="N121" s="6">
        <f t="shared" si="6"/>
        <v>48.3</v>
      </c>
    </row>
    <row r="122" spans="1:15" hidden="1">
      <c r="A122" s="22" t="s">
        <v>48</v>
      </c>
      <c r="B122" s="22"/>
      <c r="C122" s="4">
        <v>43367</v>
      </c>
      <c r="D122" s="4"/>
      <c r="E122" s="4">
        <v>43284</v>
      </c>
      <c r="F122" s="5"/>
      <c r="G122" s="49"/>
      <c r="H122" s="5">
        <v>9.1</v>
      </c>
      <c r="I122" s="5">
        <f>25+25/30*27</f>
        <v>47.5</v>
      </c>
      <c r="J122" s="5"/>
      <c r="K122" s="5"/>
      <c r="L122" s="6">
        <v>75</v>
      </c>
      <c r="M122" s="61">
        <v>25</v>
      </c>
      <c r="N122" s="6">
        <f t="shared" si="6"/>
        <v>35</v>
      </c>
    </row>
    <row r="123" spans="1:15" hidden="1">
      <c r="A123" s="2" t="s">
        <v>45</v>
      </c>
      <c r="B123" s="2"/>
      <c r="C123" s="4"/>
      <c r="D123" s="4"/>
      <c r="E123" s="4">
        <v>43286</v>
      </c>
      <c r="F123" s="5"/>
      <c r="G123" s="49"/>
      <c r="H123" s="5">
        <v>11.56</v>
      </c>
      <c r="I123" s="5"/>
      <c r="J123" s="5"/>
      <c r="K123" s="5"/>
      <c r="L123" s="6">
        <v>150</v>
      </c>
      <c r="M123" s="61">
        <v>76</v>
      </c>
      <c r="N123" s="6">
        <f t="shared" si="6"/>
        <v>51.8</v>
      </c>
      <c r="O123" s="20"/>
    </row>
    <row r="124" spans="1:15" hidden="1">
      <c r="A124" s="22" t="s">
        <v>49</v>
      </c>
      <c r="B124" s="22"/>
      <c r="C124" s="4">
        <v>43367</v>
      </c>
      <c r="D124" s="4"/>
      <c r="E124" s="4">
        <v>43291</v>
      </c>
      <c r="F124" s="5"/>
      <c r="G124" s="49"/>
      <c r="H124" s="5">
        <v>10.039999999999999</v>
      </c>
      <c r="I124" s="5">
        <f>50+25/30*14</f>
        <v>61.666666666666671</v>
      </c>
      <c r="J124" s="5"/>
      <c r="K124" s="5"/>
      <c r="L124" s="6">
        <v>50</v>
      </c>
      <c r="M124" s="61">
        <v>22</v>
      </c>
      <c r="N124" s="6">
        <f t="shared" si="6"/>
        <v>19.599999999999998</v>
      </c>
    </row>
    <row r="125" spans="1:15" hidden="1">
      <c r="A125" s="22" t="s">
        <v>51</v>
      </c>
      <c r="B125" s="22"/>
      <c r="C125" s="4">
        <v>43358</v>
      </c>
      <c r="D125" s="4"/>
      <c r="E125" s="4">
        <v>43291</v>
      </c>
      <c r="F125" s="5"/>
      <c r="G125" s="49"/>
      <c r="H125" s="5">
        <v>10.039999999999999</v>
      </c>
      <c r="I125" s="5">
        <f>50+25/30*5</f>
        <v>54.166666666666664</v>
      </c>
      <c r="J125" s="5"/>
      <c r="K125" s="5"/>
      <c r="L125" s="6">
        <v>75</v>
      </c>
      <c r="M125" s="61">
        <v>25</v>
      </c>
      <c r="N125" s="6">
        <f t="shared" si="6"/>
        <v>35</v>
      </c>
    </row>
    <row r="126" spans="1:15" hidden="1">
      <c r="A126" s="22" t="s">
        <v>52</v>
      </c>
      <c r="B126" s="22"/>
      <c r="C126" s="4">
        <v>43367</v>
      </c>
      <c r="D126" s="4"/>
      <c r="E126" s="4">
        <v>43308</v>
      </c>
      <c r="F126" s="5"/>
      <c r="G126" s="49"/>
      <c r="H126" s="5">
        <v>10.86</v>
      </c>
      <c r="I126" s="5">
        <f>25+25/30*27</f>
        <v>47.5</v>
      </c>
      <c r="J126" s="5"/>
      <c r="K126" s="5"/>
      <c r="L126" s="6">
        <v>75</v>
      </c>
      <c r="M126" s="61">
        <v>25</v>
      </c>
      <c r="N126" s="6">
        <f t="shared" si="6"/>
        <v>35</v>
      </c>
    </row>
    <row r="127" spans="1:15" hidden="1">
      <c r="A127" s="22" t="s">
        <v>50</v>
      </c>
      <c r="B127" s="22"/>
      <c r="C127" s="4">
        <v>43367</v>
      </c>
      <c r="D127" s="4"/>
      <c r="E127" s="4">
        <v>43312</v>
      </c>
      <c r="F127" s="5"/>
      <c r="G127" s="49"/>
      <c r="H127" s="5">
        <v>10.86</v>
      </c>
      <c r="I127" s="5">
        <f>25+25/30*24</f>
        <v>45</v>
      </c>
      <c r="J127" s="5"/>
      <c r="K127" s="5"/>
      <c r="L127" s="6">
        <v>70</v>
      </c>
      <c r="M127" s="61">
        <v>25</v>
      </c>
      <c r="N127" s="6">
        <f t="shared" si="6"/>
        <v>31.499999999999996</v>
      </c>
    </row>
    <row r="128" spans="1:15" hidden="1">
      <c r="A128" s="22" t="s">
        <v>55</v>
      </c>
      <c r="B128" s="22"/>
      <c r="C128" s="4">
        <v>43363</v>
      </c>
      <c r="D128" s="4"/>
      <c r="E128" s="4">
        <v>43440</v>
      </c>
      <c r="F128" s="5"/>
      <c r="G128" s="49"/>
      <c r="H128" s="5">
        <v>14.11</v>
      </c>
      <c r="I128" s="5">
        <f>25*2+25*16/30</f>
        <v>63.333333333333336</v>
      </c>
      <c r="J128" s="5"/>
      <c r="K128" s="5"/>
      <c r="L128" s="6">
        <v>75</v>
      </c>
      <c r="M128" s="61">
        <v>25</v>
      </c>
      <c r="N128" s="6">
        <f t="shared" si="6"/>
        <v>35</v>
      </c>
    </row>
    <row r="129" spans="1:15" hidden="1">
      <c r="A129" s="22" t="s">
        <v>54</v>
      </c>
      <c r="B129" s="22"/>
      <c r="C129" s="4">
        <v>43167</v>
      </c>
      <c r="D129" s="4"/>
      <c r="E129" s="4">
        <v>43455</v>
      </c>
      <c r="F129" s="5"/>
      <c r="G129" s="49"/>
      <c r="H129" s="5">
        <v>10.86</v>
      </c>
      <c r="I129" s="5">
        <f>9*25+25*13/30</f>
        <v>235.83333333333334</v>
      </c>
      <c r="J129" s="5"/>
      <c r="K129" s="5"/>
      <c r="L129" s="6">
        <v>90</v>
      </c>
      <c r="M129" s="61">
        <v>36</v>
      </c>
      <c r="N129" s="6">
        <f t="shared" si="6"/>
        <v>37.799999999999997</v>
      </c>
    </row>
    <row r="130" spans="1:15" hidden="1">
      <c r="A130" s="22" t="s">
        <v>57</v>
      </c>
      <c r="B130" s="22"/>
      <c r="C130" s="4">
        <v>43478</v>
      </c>
      <c r="D130" s="4"/>
      <c r="E130" s="4">
        <v>43536</v>
      </c>
      <c r="F130" s="5"/>
      <c r="G130" s="49"/>
      <c r="H130" s="5">
        <v>10.86</v>
      </c>
      <c r="I130" s="5">
        <v>25</v>
      </c>
      <c r="J130" s="5"/>
      <c r="K130" s="5"/>
      <c r="L130" s="6">
        <v>70</v>
      </c>
      <c r="M130" s="61">
        <v>25</v>
      </c>
      <c r="N130" s="6">
        <f t="shared" si="6"/>
        <v>31.499999999999996</v>
      </c>
    </row>
    <row r="131" spans="1:15" hidden="1">
      <c r="A131" s="22" t="s">
        <v>59</v>
      </c>
      <c r="B131" s="22"/>
      <c r="C131" s="4">
        <v>43528</v>
      </c>
      <c r="D131" s="4"/>
      <c r="E131" s="4">
        <v>43538</v>
      </c>
      <c r="F131" s="5"/>
      <c r="G131" s="49"/>
      <c r="H131" s="5">
        <v>14.92</v>
      </c>
      <c r="I131" s="5">
        <f>77/30*10</f>
        <v>25.666666666666668</v>
      </c>
      <c r="J131" s="5"/>
      <c r="K131" s="5"/>
      <c r="L131" s="6">
        <v>169</v>
      </c>
      <c r="M131" s="61">
        <f>64+11+2</f>
        <v>77</v>
      </c>
      <c r="N131" s="6">
        <f t="shared" si="6"/>
        <v>64.399999999999991</v>
      </c>
    </row>
    <row r="132" spans="1:15" hidden="1">
      <c r="A132" s="22" t="s">
        <v>58</v>
      </c>
      <c r="B132" s="22"/>
      <c r="C132" s="4">
        <v>43534</v>
      </c>
      <c r="D132" s="4"/>
      <c r="E132" s="4">
        <v>43542</v>
      </c>
      <c r="F132" s="5"/>
      <c r="G132" s="49"/>
      <c r="H132" s="5">
        <f>10.86*2</f>
        <v>21.72</v>
      </c>
      <c r="I132" s="5">
        <v>0</v>
      </c>
      <c r="J132" s="5"/>
      <c r="K132" s="5"/>
      <c r="L132" s="6">
        <v>120</v>
      </c>
      <c r="M132" s="61">
        <f>60+11</f>
        <v>71</v>
      </c>
      <c r="N132" s="6">
        <f t="shared" si="6"/>
        <v>34.299999999999997</v>
      </c>
    </row>
    <row r="133" spans="1:15" hidden="1">
      <c r="A133" s="22" t="s">
        <v>61</v>
      </c>
      <c r="B133" s="22"/>
      <c r="C133" s="4">
        <v>43482</v>
      </c>
      <c r="D133" s="4"/>
      <c r="E133" s="4">
        <v>43542</v>
      </c>
      <c r="F133" s="5"/>
      <c r="G133" s="49"/>
      <c r="H133" s="5">
        <v>11.1</v>
      </c>
      <c r="I133" s="5">
        <f>25*2</f>
        <v>50</v>
      </c>
      <c r="J133" s="5"/>
      <c r="K133" s="5"/>
      <c r="L133" s="6">
        <v>70</v>
      </c>
      <c r="M133" s="61">
        <v>26</v>
      </c>
      <c r="N133" s="6">
        <f t="shared" si="6"/>
        <v>30.799999999999997</v>
      </c>
    </row>
    <row r="134" spans="1:15" hidden="1">
      <c r="A134" s="22" t="s">
        <v>63</v>
      </c>
      <c r="B134" s="22"/>
      <c r="C134" s="4">
        <v>43593</v>
      </c>
      <c r="D134" s="4"/>
      <c r="E134" s="4">
        <v>43605</v>
      </c>
      <c r="F134" s="5"/>
      <c r="G134" s="49"/>
      <c r="H134" s="5">
        <f>10.86*2+20</f>
        <v>41.72</v>
      </c>
      <c r="I134" s="5">
        <f>18/30*12</f>
        <v>7.1999999999999993</v>
      </c>
      <c r="J134" s="5"/>
      <c r="K134" s="5"/>
      <c r="L134" s="6">
        <v>100</v>
      </c>
      <c r="M134" s="61">
        <f>11+7</f>
        <v>18</v>
      </c>
      <c r="N134" s="6">
        <f t="shared" si="6"/>
        <v>57.4</v>
      </c>
    </row>
    <row r="135" spans="1:15" hidden="1">
      <c r="A135" s="22" t="s">
        <v>64</v>
      </c>
      <c r="B135" s="22"/>
      <c r="C135" s="4">
        <v>43627</v>
      </c>
      <c r="D135" s="4"/>
      <c r="E135" s="4">
        <v>43629</v>
      </c>
      <c r="F135" s="5"/>
      <c r="G135" s="49"/>
      <c r="H135" s="5">
        <v>10.86</v>
      </c>
      <c r="I135" s="5">
        <f>25/30*2</f>
        <v>1.6666666666666667</v>
      </c>
      <c r="J135" s="5"/>
      <c r="K135" s="5">
        <f>H135+I135</f>
        <v>12.526666666666666</v>
      </c>
      <c r="L135" s="6">
        <v>75</v>
      </c>
      <c r="M135" s="61">
        <v>33</v>
      </c>
      <c r="N135" s="6">
        <f t="shared" si="6"/>
        <v>29.4</v>
      </c>
    </row>
    <row r="136" spans="1:15" hidden="1">
      <c r="A136" s="22" t="s">
        <v>67</v>
      </c>
      <c r="B136" s="22"/>
      <c r="C136" s="4">
        <v>43600</v>
      </c>
      <c r="D136" s="4"/>
      <c r="E136" s="4">
        <v>43629</v>
      </c>
      <c r="F136" s="5"/>
      <c r="G136" s="49"/>
      <c r="H136" s="5">
        <f>10.86*2</f>
        <v>21.72</v>
      </c>
      <c r="I136" s="5">
        <f>22/30*58</f>
        <v>42.533333333333331</v>
      </c>
      <c r="J136" s="5">
        <v>50</v>
      </c>
      <c r="K136" s="5">
        <f>H136+I136+J136</f>
        <v>114.25333333333333</v>
      </c>
      <c r="L136" s="6">
        <v>60</v>
      </c>
      <c r="M136" s="61">
        <v>25</v>
      </c>
      <c r="N136" s="6">
        <v>0</v>
      </c>
    </row>
    <row r="137" spans="1:15" hidden="1">
      <c r="A137" s="22" t="s">
        <v>66</v>
      </c>
      <c r="B137" s="22"/>
      <c r="C137" s="4">
        <v>43600</v>
      </c>
      <c r="D137" s="4"/>
      <c r="E137" s="4">
        <v>43629</v>
      </c>
      <c r="F137" s="5"/>
      <c r="G137" s="49"/>
      <c r="H137" s="5">
        <f>10.86</f>
        <v>10.86</v>
      </c>
      <c r="I137" s="5">
        <f>39/30*58</f>
        <v>75.400000000000006</v>
      </c>
      <c r="J137" s="5"/>
      <c r="K137" s="5">
        <f>H137+I137</f>
        <v>86.26</v>
      </c>
      <c r="L137" s="6">
        <v>110</v>
      </c>
      <c r="M137" s="61">
        <f>25+11+3</f>
        <v>39</v>
      </c>
      <c r="N137" s="6">
        <v>0</v>
      </c>
      <c r="O137" t="s">
        <v>73</v>
      </c>
    </row>
    <row r="138" spans="1:15" hidden="1">
      <c r="A138" s="22" t="s">
        <v>65</v>
      </c>
      <c r="B138" s="22"/>
      <c r="C138" s="4">
        <v>43622</v>
      </c>
      <c r="D138" s="4"/>
      <c r="E138" s="4">
        <v>43650</v>
      </c>
      <c r="F138" s="5"/>
      <c r="G138" s="49"/>
      <c r="H138" s="5">
        <v>10.86</v>
      </c>
      <c r="I138" s="5"/>
      <c r="J138" s="5"/>
      <c r="K138" s="5"/>
      <c r="L138" s="6">
        <v>120</v>
      </c>
      <c r="M138" s="61">
        <v>60</v>
      </c>
      <c r="N138" s="6">
        <f t="shared" ref="N138:N150" si="7">(L138-M138)*0.7</f>
        <v>42</v>
      </c>
    </row>
    <row r="139" spans="1:15" hidden="1">
      <c r="A139" s="22" t="s">
        <v>71</v>
      </c>
      <c r="B139" s="22"/>
      <c r="C139" s="4">
        <v>43635</v>
      </c>
      <c r="D139" s="4"/>
      <c r="E139" s="4">
        <v>43662</v>
      </c>
      <c r="F139" s="5"/>
      <c r="G139" s="49"/>
      <c r="H139" s="5">
        <f>10.86*2</f>
        <v>21.72</v>
      </c>
      <c r="I139" s="5"/>
      <c r="J139" s="5"/>
      <c r="K139" s="5"/>
      <c r="L139" s="6">
        <v>70</v>
      </c>
      <c r="M139" s="61">
        <v>26</v>
      </c>
      <c r="N139" s="6">
        <f t="shared" si="7"/>
        <v>30.799999999999997</v>
      </c>
      <c r="O139" t="s">
        <v>72</v>
      </c>
    </row>
    <row r="140" spans="1:15" hidden="1">
      <c r="A140" s="2" t="s">
        <v>75</v>
      </c>
      <c r="B140" s="2"/>
      <c r="C140" s="4">
        <v>43656</v>
      </c>
      <c r="D140" s="4"/>
      <c r="E140" s="4">
        <v>43711</v>
      </c>
      <c r="F140" s="5"/>
      <c r="G140" s="49"/>
      <c r="H140" s="5">
        <v>10.86</v>
      </c>
      <c r="I140" s="5">
        <f>36/30*48</f>
        <v>57.599999999999994</v>
      </c>
      <c r="J140" s="5"/>
      <c r="K140" s="5"/>
      <c r="L140" s="6">
        <v>105</v>
      </c>
      <c r="M140" s="61">
        <v>36</v>
      </c>
      <c r="N140" s="6">
        <f t="shared" si="7"/>
        <v>48.3</v>
      </c>
    </row>
    <row r="141" spans="1:15" hidden="1">
      <c r="A141" s="2" t="s">
        <v>76</v>
      </c>
      <c r="B141" s="2"/>
      <c r="C141" s="4">
        <v>43677</v>
      </c>
      <c r="D141" s="4"/>
      <c r="E141" s="4">
        <v>43713</v>
      </c>
      <c r="F141" s="5"/>
      <c r="G141" s="49"/>
      <c r="H141" s="5">
        <v>24.06</v>
      </c>
      <c r="I141" s="5">
        <f>80/30*35</f>
        <v>93.333333333333329</v>
      </c>
      <c r="J141" s="5">
        <v>40</v>
      </c>
      <c r="K141" s="5"/>
      <c r="L141" s="6">
        <v>149</v>
      </c>
      <c r="M141" s="61">
        <v>80</v>
      </c>
      <c r="N141" s="6">
        <f t="shared" si="7"/>
        <v>48.3</v>
      </c>
      <c r="O141" t="s">
        <v>79</v>
      </c>
    </row>
    <row r="142" spans="1:15" hidden="1">
      <c r="A142" s="2" t="s">
        <v>81</v>
      </c>
      <c r="B142" s="2"/>
      <c r="C142" s="4">
        <v>43788</v>
      </c>
      <c r="D142" s="4"/>
      <c r="E142" s="4">
        <v>43865</v>
      </c>
      <c r="F142" s="5"/>
      <c r="G142" s="49"/>
      <c r="H142" s="5">
        <v>9.14</v>
      </c>
      <c r="I142" s="5">
        <f>25/30*45</f>
        <v>37.5</v>
      </c>
      <c r="J142" s="5"/>
      <c r="K142" s="5"/>
      <c r="L142" s="6">
        <v>90</v>
      </c>
      <c r="M142" s="61">
        <v>25</v>
      </c>
      <c r="N142" s="6">
        <f t="shared" si="7"/>
        <v>45.5</v>
      </c>
    </row>
    <row r="143" spans="1:15" hidden="1">
      <c r="A143" s="22" t="s">
        <v>87</v>
      </c>
      <c r="B143" s="22"/>
      <c r="C143" s="35">
        <v>43878</v>
      </c>
      <c r="D143" s="35"/>
      <c r="E143" s="35">
        <v>43892</v>
      </c>
      <c r="F143" s="5"/>
      <c r="G143" s="49"/>
      <c r="H143" s="5">
        <v>12.19</v>
      </c>
      <c r="I143" s="5">
        <v>5.5</v>
      </c>
      <c r="J143" s="5"/>
      <c r="K143" s="5"/>
      <c r="L143" s="6">
        <v>25</v>
      </c>
      <c r="M143" s="61">
        <v>11</v>
      </c>
      <c r="N143" s="6">
        <f t="shared" si="7"/>
        <v>9.7999999999999989</v>
      </c>
    </row>
    <row r="144" spans="1:15" hidden="1">
      <c r="A144" s="22" t="s">
        <v>89</v>
      </c>
      <c r="B144" s="22"/>
      <c r="C144" s="35">
        <v>43908</v>
      </c>
      <c r="D144" s="35"/>
      <c r="E144" s="35">
        <v>43893</v>
      </c>
      <c r="F144" s="5"/>
      <c r="G144" s="49"/>
      <c r="H144" s="5">
        <v>9.6</v>
      </c>
      <c r="I144" s="5">
        <v>5.5</v>
      </c>
      <c r="J144" s="5"/>
      <c r="K144" s="5"/>
      <c r="L144" s="6">
        <v>25</v>
      </c>
      <c r="M144" s="61">
        <v>11</v>
      </c>
      <c r="N144" s="6">
        <f t="shared" si="7"/>
        <v>9.7999999999999989</v>
      </c>
    </row>
    <row r="145" spans="1:16" hidden="1">
      <c r="A145" s="22" t="s">
        <v>85</v>
      </c>
      <c r="B145" s="22"/>
      <c r="C145" s="35">
        <v>43881</v>
      </c>
      <c r="D145" s="35"/>
      <c r="E145" s="35">
        <v>43895</v>
      </c>
      <c r="F145" s="5"/>
      <c r="G145" s="49"/>
      <c r="H145" s="5">
        <v>9.14</v>
      </c>
      <c r="I145" s="5">
        <f>11/30*15</f>
        <v>5.5</v>
      </c>
      <c r="J145" s="5"/>
      <c r="K145" s="5"/>
      <c r="L145" s="6">
        <v>25</v>
      </c>
      <c r="M145" s="61">
        <v>11</v>
      </c>
      <c r="N145" s="6">
        <f t="shared" si="7"/>
        <v>9.7999999999999989</v>
      </c>
    </row>
    <row r="146" spans="1:16" hidden="1">
      <c r="A146" s="22" t="s">
        <v>82</v>
      </c>
      <c r="B146" s="22"/>
      <c r="C146" s="35">
        <v>40235</v>
      </c>
      <c r="D146" s="35"/>
      <c r="E146" s="35">
        <v>43901</v>
      </c>
      <c r="F146" s="5"/>
      <c r="G146" s="49"/>
      <c r="H146" s="5">
        <v>9.6</v>
      </c>
      <c r="I146" s="5">
        <f>11/2</f>
        <v>5.5</v>
      </c>
      <c r="J146" s="5"/>
      <c r="K146" s="5"/>
      <c r="L146" s="6">
        <v>25</v>
      </c>
      <c r="M146" s="61">
        <v>11</v>
      </c>
      <c r="N146" s="6">
        <f t="shared" si="7"/>
        <v>9.7999999999999989</v>
      </c>
    </row>
    <row r="147" spans="1:16" hidden="1">
      <c r="A147" s="22" t="s">
        <v>84</v>
      </c>
      <c r="B147" s="22"/>
      <c r="C147" s="35">
        <v>43889</v>
      </c>
      <c r="D147" s="35"/>
      <c r="E147" s="35">
        <v>43903</v>
      </c>
      <c r="F147" s="5"/>
      <c r="G147" s="49"/>
      <c r="H147" s="5">
        <v>9.14</v>
      </c>
      <c r="I147" s="5">
        <f>11/30*15</f>
        <v>5.5</v>
      </c>
      <c r="J147" s="5"/>
      <c r="K147" s="5"/>
      <c r="L147" s="6">
        <v>25</v>
      </c>
      <c r="M147" s="61">
        <v>11</v>
      </c>
      <c r="N147" s="6">
        <f t="shared" si="7"/>
        <v>9.7999999999999989</v>
      </c>
    </row>
    <row r="148" spans="1:16" hidden="1">
      <c r="A148" s="22" t="s">
        <v>80</v>
      </c>
      <c r="B148" s="22"/>
      <c r="C148" s="35">
        <v>43873</v>
      </c>
      <c r="D148" s="35"/>
      <c r="E148" s="35">
        <v>43910</v>
      </c>
      <c r="F148" s="5"/>
      <c r="G148" s="49"/>
      <c r="H148" s="5">
        <v>21.84</v>
      </c>
      <c r="I148" s="5">
        <f>56/30*38</f>
        <v>70.933333333333337</v>
      </c>
      <c r="J148" s="5"/>
      <c r="K148" s="5"/>
      <c r="L148" s="6">
        <v>120</v>
      </c>
      <c r="M148" s="61">
        <v>56</v>
      </c>
      <c r="N148" s="6">
        <f t="shared" si="7"/>
        <v>44.8</v>
      </c>
    </row>
    <row r="149" spans="1:16" hidden="1">
      <c r="A149" s="22" t="s">
        <v>83</v>
      </c>
      <c r="B149" s="22"/>
      <c r="C149" s="35">
        <v>43872</v>
      </c>
      <c r="D149" s="35"/>
      <c r="E149" s="35">
        <v>43913</v>
      </c>
      <c r="F149" s="5"/>
      <c r="G149" s="49"/>
      <c r="H149" s="5">
        <v>12.24</v>
      </c>
      <c r="I149" s="5">
        <f>45/30*42</f>
        <v>63</v>
      </c>
      <c r="J149" s="5"/>
      <c r="K149" s="5"/>
      <c r="L149" s="6">
        <v>85</v>
      </c>
      <c r="M149" s="61">
        <v>45</v>
      </c>
      <c r="N149" s="6">
        <f t="shared" si="7"/>
        <v>28</v>
      </c>
    </row>
    <row r="150" spans="1:16" hidden="1">
      <c r="A150" s="22" t="s">
        <v>88</v>
      </c>
      <c r="B150" s="22"/>
      <c r="C150" s="35">
        <v>43855</v>
      </c>
      <c r="D150" s="35"/>
      <c r="E150" s="35">
        <v>43941</v>
      </c>
      <c r="F150" s="5"/>
      <c r="G150" s="49"/>
      <c r="H150" s="5">
        <v>13.93</v>
      </c>
      <c r="I150" s="5">
        <f>56/30*85</f>
        <v>158.66666666666666</v>
      </c>
      <c r="J150" s="5"/>
      <c r="K150" s="5"/>
      <c r="L150" s="6">
        <v>110</v>
      </c>
      <c r="M150" s="61">
        <v>56</v>
      </c>
      <c r="N150" s="6">
        <f t="shared" si="7"/>
        <v>37.799999999999997</v>
      </c>
    </row>
    <row r="151" spans="1:16" hidden="1">
      <c r="A151" s="22" t="s">
        <v>90</v>
      </c>
      <c r="B151" s="22"/>
      <c r="C151" s="35" t="s">
        <v>96</v>
      </c>
      <c r="D151" s="35"/>
      <c r="E151" s="35">
        <v>44015</v>
      </c>
      <c r="F151" s="5" t="s">
        <v>160</v>
      </c>
      <c r="G151" s="49">
        <v>12.5</v>
      </c>
      <c r="H151" s="5">
        <v>11.29</v>
      </c>
      <c r="I151" s="5">
        <f>100</f>
        <v>100</v>
      </c>
      <c r="J151" s="5"/>
      <c r="K151" s="5"/>
      <c r="L151" s="6">
        <v>75</v>
      </c>
      <c r="M151" s="61">
        <f>25+11</f>
        <v>36</v>
      </c>
      <c r="N151" s="6">
        <f>12.5+(62.5-M151)*0.7</f>
        <v>31.049999999999997</v>
      </c>
      <c r="P151" s="41"/>
    </row>
    <row r="152" spans="1:16" hidden="1">
      <c r="A152" s="22" t="s">
        <v>97</v>
      </c>
      <c r="B152" s="22"/>
      <c r="C152" s="35">
        <v>43990</v>
      </c>
      <c r="D152" s="35"/>
      <c r="E152" s="35">
        <v>44036</v>
      </c>
      <c r="F152" s="5"/>
      <c r="G152" s="49"/>
      <c r="H152" s="5">
        <v>8.75</v>
      </c>
      <c r="I152" s="5">
        <f>56/30*46</f>
        <v>85.866666666666674</v>
      </c>
      <c r="J152" s="5"/>
      <c r="K152" s="5"/>
      <c r="L152" s="6">
        <v>110</v>
      </c>
      <c r="M152" s="61">
        <f>45+11</f>
        <v>56</v>
      </c>
      <c r="N152" s="6">
        <f>(L152-M152)*0.7</f>
        <v>37.799999999999997</v>
      </c>
    </row>
    <row r="153" spans="1:16" hidden="1">
      <c r="A153" s="22" t="s">
        <v>95</v>
      </c>
      <c r="B153" s="22"/>
      <c r="C153" s="35">
        <v>44028</v>
      </c>
      <c r="D153" s="35"/>
      <c r="E153" s="35">
        <v>44040</v>
      </c>
      <c r="F153" s="5"/>
      <c r="G153" s="49"/>
      <c r="H153" s="5">
        <v>8.75</v>
      </c>
      <c r="I153" s="5">
        <f>41/30*12</f>
        <v>16.399999999999999</v>
      </c>
      <c r="J153" s="5"/>
      <c r="K153" s="5"/>
      <c r="L153" s="6">
        <v>60</v>
      </c>
      <c r="M153" s="61">
        <v>41</v>
      </c>
      <c r="N153" s="6">
        <f>(L153-M153)*0.7</f>
        <v>13.299999999999999</v>
      </c>
    </row>
    <row r="154" spans="1:16" hidden="1">
      <c r="A154" s="22" t="s">
        <v>98</v>
      </c>
      <c r="B154" s="22"/>
      <c r="C154" s="35">
        <v>44048</v>
      </c>
      <c r="D154" s="35"/>
      <c r="E154" s="35">
        <v>44081</v>
      </c>
      <c r="F154" s="5" t="s">
        <v>160</v>
      </c>
      <c r="G154" s="49">
        <v>17.5</v>
      </c>
      <c r="H154" s="5">
        <v>27.88</v>
      </c>
      <c r="I154" s="5">
        <f>58/30*32</f>
        <v>61.866666666666667</v>
      </c>
      <c r="J154" s="5">
        <v>125</v>
      </c>
      <c r="K154" s="5"/>
      <c r="L154" s="6">
        <v>140</v>
      </c>
      <c r="M154" s="61">
        <f>25+33</f>
        <v>58</v>
      </c>
      <c r="N154" s="6">
        <f>17.5+64.5*0.7</f>
        <v>62.65</v>
      </c>
      <c r="P154" s="41"/>
    </row>
    <row r="155" spans="1:16" hidden="1">
      <c r="A155" s="22" t="s">
        <v>91</v>
      </c>
      <c r="B155" s="22"/>
      <c r="C155" s="35">
        <v>44011</v>
      </c>
      <c r="D155" s="35"/>
      <c r="E155" s="35">
        <v>44084</v>
      </c>
      <c r="F155" s="5"/>
      <c r="G155" s="49"/>
      <c r="H155" s="5">
        <v>11.29</v>
      </c>
      <c r="I155" s="5">
        <f>25/30*71</f>
        <v>59.166666666666671</v>
      </c>
      <c r="J155" s="5"/>
      <c r="K155" s="5"/>
      <c r="L155" s="6">
        <v>40</v>
      </c>
      <c r="M155" s="61">
        <v>25</v>
      </c>
      <c r="N155" s="6">
        <f>(L155-M155)*0.7</f>
        <v>10.5</v>
      </c>
    </row>
    <row r="156" spans="1:16" hidden="1">
      <c r="A156" s="2" t="s">
        <v>99</v>
      </c>
      <c r="B156" s="2"/>
      <c r="C156" s="35">
        <v>44084</v>
      </c>
      <c r="D156" s="35"/>
      <c r="E156" s="35">
        <v>44105</v>
      </c>
      <c r="F156" s="5" t="s">
        <v>160</v>
      </c>
      <c r="G156" s="49">
        <v>5</v>
      </c>
      <c r="H156" s="5">
        <v>12.24</v>
      </c>
      <c r="I156" s="5">
        <f>25/30*20</f>
        <v>16.666666666666668</v>
      </c>
      <c r="J156" s="5"/>
      <c r="K156" s="5"/>
      <c r="L156" s="43">
        <v>40</v>
      </c>
      <c r="M156" s="61">
        <v>22</v>
      </c>
      <c r="N156" s="6">
        <f>5+13*0.7</f>
        <v>14.1</v>
      </c>
      <c r="P156" s="41"/>
    </row>
    <row r="157" spans="1:16" hidden="1">
      <c r="A157" s="2" t="s">
        <v>102</v>
      </c>
      <c r="B157" s="2"/>
      <c r="C157" s="4" t="s">
        <v>103</v>
      </c>
      <c r="D157" s="4"/>
      <c r="E157" s="4">
        <v>44110</v>
      </c>
      <c r="F157" s="5" t="s">
        <v>160</v>
      </c>
      <c r="G157" s="49">
        <v>10</v>
      </c>
      <c r="H157" s="5">
        <v>36.65</v>
      </c>
      <c r="I157" s="5">
        <f>115/30*26</f>
        <v>99.666666666666671</v>
      </c>
      <c r="J157" s="5"/>
      <c r="K157" s="5"/>
      <c r="L157" s="6">
        <v>180</v>
      </c>
      <c r="M157" s="61">
        <v>115</v>
      </c>
      <c r="N157" s="6">
        <f>10+55*0.7</f>
        <v>48.5</v>
      </c>
      <c r="P157" s="41"/>
    </row>
    <row r="158" spans="1:16" hidden="1">
      <c r="A158" s="2" t="s">
        <v>94</v>
      </c>
      <c r="B158" s="2"/>
      <c r="C158" s="35">
        <v>44124</v>
      </c>
      <c r="D158" s="35"/>
      <c r="E158" s="35">
        <v>44124</v>
      </c>
      <c r="F158" s="5"/>
      <c r="G158" s="49"/>
      <c r="H158" s="5">
        <v>7.25</v>
      </c>
      <c r="I158" s="5">
        <v>0</v>
      </c>
      <c r="J158" s="5"/>
      <c r="K158" s="5"/>
      <c r="L158" s="6">
        <v>25</v>
      </c>
      <c r="M158" s="61">
        <v>11</v>
      </c>
      <c r="N158" s="6">
        <f>(L158-M158)*0.7</f>
        <v>9.7999999999999989</v>
      </c>
    </row>
    <row r="159" spans="1:16" hidden="1">
      <c r="A159" s="2" t="s">
        <v>100</v>
      </c>
      <c r="B159" s="2"/>
      <c r="C159" s="4">
        <v>44018</v>
      </c>
      <c r="D159" s="4"/>
      <c r="E159" s="4">
        <v>44124</v>
      </c>
      <c r="F159" s="40"/>
      <c r="G159" s="2"/>
      <c r="H159" s="5">
        <v>9.5</v>
      </c>
      <c r="I159" s="5">
        <f>25/30*104</f>
        <v>86.666666666666671</v>
      </c>
      <c r="J159" s="5"/>
      <c r="K159" s="5"/>
      <c r="L159" s="6">
        <v>70</v>
      </c>
      <c r="M159" s="61">
        <v>25</v>
      </c>
      <c r="N159" s="6">
        <f>(L159-M159)*0.7</f>
        <v>31.499999999999996</v>
      </c>
    </row>
    <row r="160" spans="1:16" hidden="1">
      <c r="A160" s="2" t="s">
        <v>101</v>
      </c>
      <c r="B160" s="2"/>
      <c r="C160" s="4">
        <v>44070</v>
      </c>
      <c r="D160" s="4"/>
      <c r="E160" s="4">
        <v>44131</v>
      </c>
      <c r="F160" s="40"/>
      <c r="G160" s="2"/>
      <c r="H160" s="5">
        <v>13.93</v>
      </c>
      <c r="I160" s="5">
        <f>71/30*60</f>
        <v>142</v>
      </c>
      <c r="J160" s="5"/>
      <c r="K160" s="5"/>
      <c r="L160" s="6">
        <v>120</v>
      </c>
      <c r="M160" s="61">
        <f>60+11</f>
        <v>71</v>
      </c>
      <c r="N160" s="6">
        <f>(L160-M160)*0.7</f>
        <v>34.299999999999997</v>
      </c>
    </row>
    <row r="161" spans="1:15" hidden="1">
      <c r="A161" s="22" t="s">
        <v>104</v>
      </c>
      <c r="B161" s="22"/>
      <c r="C161" s="4">
        <v>44159</v>
      </c>
      <c r="D161" s="4"/>
      <c r="E161" s="4">
        <v>44187</v>
      </c>
      <c r="F161" s="40"/>
      <c r="G161" s="2"/>
      <c r="H161" s="5">
        <v>13.93</v>
      </c>
      <c r="I161" s="5">
        <f>36/30*28</f>
        <v>33.6</v>
      </c>
      <c r="J161" s="5"/>
      <c r="K161" s="5"/>
      <c r="L161" s="6">
        <v>110</v>
      </c>
      <c r="M161" s="61">
        <f>25+11</f>
        <v>36</v>
      </c>
      <c r="N161" s="6">
        <f>(L161-M161)*0.7</f>
        <v>51.8</v>
      </c>
    </row>
    <row r="162" spans="1:15" hidden="1">
      <c r="A162" s="22" t="s">
        <v>120</v>
      </c>
      <c r="B162" s="22"/>
      <c r="C162" s="4">
        <v>44169</v>
      </c>
      <c r="D162" s="4"/>
      <c r="E162" s="4">
        <v>44208</v>
      </c>
      <c r="F162" s="5" t="s">
        <v>160</v>
      </c>
      <c r="G162" s="49">
        <v>10</v>
      </c>
      <c r="H162" s="5"/>
      <c r="I162" s="5">
        <f>41/30*38</f>
        <v>51.933333333333337</v>
      </c>
      <c r="J162" s="5"/>
      <c r="K162" s="5"/>
      <c r="L162" s="6">
        <v>70</v>
      </c>
      <c r="M162" s="61">
        <v>45</v>
      </c>
      <c r="N162" s="5">
        <f>10+(60-45)*0.7</f>
        <v>20.5</v>
      </c>
      <c r="O162" s="1" t="s">
        <v>145</v>
      </c>
    </row>
    <row r="163" spans="1:15" hidden="1">
      <c r="A163" s="22" t="s">
        <v>108</v>
      </c>
      <c r="B163" s="22"/>
      <c r="C163" s="4">
        <v>44185</v>
      </c>
      <c r="D163" s="4"/>
      <c r="E163" s="4">
        <v>44242</v>
      </c>
      <c r="F163" s="5" t="s">
        <v>160</v>
      </c>
      <c r="G163" s="49">
        <v>20</v>
      </c>
      <c r="H163" s="5">
        <v>26.48</v>
      </c>
      <c r="I163" s="5">
        <f>50/30*55</f>
        <v>91.666666666666671</v>
      </c>
      <c r="J163" s="5">
        <v>160</v>
      </c>
      <c r="K163" s="5"/>
      <c r="L163" s="6">
        <v>190</v>
      </c>
      <c r="M163" s="61">
        <v>61</v>
      </c>
      <c r="N163" s="5">
        <f>(20+(170-61)*0.7)</f>
        <v>96.3</v>
      </c>
      <c r="O163" s="1" t="s">
        <v>145</v>
      </c>
    </row>
    <row r="164" spans="1:15" hidden="1">
      <c r="A164" s="22" t="s">
        <v>109</v>
      </c>
      <c r="B164" s="22"/>
      <c r="C164" s="4">
        <v>44209</v>
      </c>
      <c r="D164" s="4"/>
      <c r="E164" s="4">
        <v>44250</v>
      </c>
      <c r="F164" s="5" t="s">
        <v>160</v>
      </c>
      <c r="G164" s="49">
        <v>22.5</v>
      </c>
      <c r="H164" s="5">
        <v>22.83</v>
      </c>
      <c r="I164" s="5">
        <f>100/30*40</f>
        <v>133.33333333333334</v>
      </c>
      <c r="J164" s="5">
        <v>125</v>
      </c>
      <c r="K164" s="5"/>
      <c r="L164" s="6">
        <v>210</v>
      </c>
      <c r="M164" s="61">
        <v>100</v>
      </c>
      <c r="N164" s="6">
        <f>(22.5+87.5*0.7)</f>
        <v>83.75</v>
      </c>
    </row>
    <row r="165" spans="1:15" hidden="1">
      <c r="A165" s="2" t="s">
        <v>113</v>
      </c>
      <c r="B165" s="2"/>
      <c r="C165" s="4">
        <v>44245</v>
      </c>
      <c r="D165" s="4"/>
      <c r="E165" s="4">
        <v>44271</v>
      </c>
      <c r="F165" s="5" t="s">
        <v>160</v>
      </c>
      <c r="G165" s="49">
        <v>15</v>
      </c>
      <c r="H165" s="5">
        <v>26.76</v>
      </c>
      <c r="I165" s="5">
        <f>67/30*28</f>
        <v>62.533333333333331</v>
      </c>
      <c r="J165" s="5"/>
      <c r="K165" s="5"/>
      <c r="L165" s="6">
        <v>140</v>
      </c>
      <c r="M165" s="61">
        <v>67</v>
      </c>
      <c r="N165" s="6">
        <f>(15+0.7*58)</f>
        <v>55.599999999999994</v>
      </c>
    </row>
    <row r="166" spans="1:15" hidden="1">
      <c r="A166" s="2" t="s">
        <v>114</v>
      </c>
      <c r="B166" s="2"/>
      <c r="C166" s="4">
        <v>44222</v>
      </c>
      <c r="D166" s="4"/>
      <c r="E166" s="4">
        <v>44279</v>
      </c>
      <c r="F166" s="5" t="s">
        <v>160</v>
      </c>
      <c r="G166" s="49">
        <v>12.5</v>
      </c>
      <c r="H166" s="5">
        <v>13.4</v>
      </c>
      <c r="I166" s="5">
        <f>56/30*58</f>
        <v>108.26666666666667</v>
      </c>
      <c r="J166" s="5">
        <v>100</v>
      </c>
      <c r="K166" s="5"/>
      <c r="L166" s="6">
        <v>140</v>
      </c>
      <c r="M166" s="61">
        <v>56</v>
      </c>
      <c r="N166" s="5">
        <f>(12.5+71.5*0.7)</f>
        <v>62.55</v>
      </c>
      <c r="O166" s="1" t="s">
        <v>145</v>
      </c>
    </row>
    <row r="167" spans="1:15" hidden="1">
      <c r="A167" s="2" t="s">
        <v>112</v>
      </c>
      <c r="B167" s="2"/>
      <c r="C167" s="4">
        <v>44270</v>
      </c>
      <c r="D167" s="4"/>
      <c r="E167" s="4">
        <v>44286</v>
      </c>
      <c r="F167" s="5" t="s">
        <v>160</v>
      </c>
      <c r="G167" s="49">
        <v>17.5</v>
      </c>
      <c r="H167" s="5">
        <v>31.96</v>
      </c>
      <c r="I167" s="5">
        <f>55/30*16</f>
        <v>29.333333333333332</v>
      </c>
      <c r="J167" s="5">
        <v>75</v>
      </c>
      <c r="K167" s="5"/>
      <c r="L167" s="6">
        <v>100</v>
      </c>
      <c r="M167" s="61">
        <v>55</v>
      </c>
      <c r="N167" s="6">
        <f>(17.5+27.5*0.7)</f>
        <v>36.75</v>
      </c>
    </row>
    <row r="168" spans="1:15" hidden="1">
      <c r="A168" s="2" t="s">
        <v>119</v>
      </c>
      <c r="B168" s="2"/>
      <c r="C168" s="4">
        <v>44281</v>
      </c>
      <c r="D168" s="4"/>
      <c r="E168" s="4">
        <v>44316</v>
      </c>
      <c r="F168" s="40"/>
      <c r="G168" s="2"/>
      <c r="H168" s="5">
        <v>14.26</v>
      </c>
      <c r="I168" s="5">
        <f>45/30*34</f>
        <v>51</v>
      </c>
      <c r="J168" s="5"/>
      <c r="K168" s="5"/>
      <c r="L168" s="6">
        <v>110</v>
      </c>
      <c r="M168" s="61">
        <v>45</v>
      </c>
      <c r="N168" s="6">
        <f>(65*0.7)</f>
        <v>45.5</v>
      </c>
    </row>
    <row r="169" spans="1:15" hidden="1">
      <c r="A169" s="28" t="s">
        <v>121</v>
      </c>
      <c r="B169" s="28"/>
      <c r="C169" s="15">
        <v>44316</v>
      </c>
      <c r="D169" s="15"/>
      <c r="E169" s="15">
        <v>44354</v>
      </c>
      <c r="F169" s="71"/>
      <c r="H169" s="16">
        <v>15.15</v>
      </c>
      <c r="I169" s="16">
        <f>36/30*37</f>
        <v>44.4</v>
      </c>
      <c r="J169" s="16"/>
      <c r="K169" s="16"/>
      <c r="L169" s="17">
        <v>110</v>
      </c>
      <c r="M169" s="62">
        <v>36</v>
      </c>
      <c r="N169" s="93">
        <f>(L169-M169)*0.7</f>
        <v>51.8</v>
      </c>
      <c r="O169" s="1" t="s">
        <v>145</v>
      </c>
    </row>
    <row r="170" spans="1:15" hidden="1">
      <c r="A170" s="28" t="s">
        <v>126</v>
      </c>
      <c r="B170" s="28"/>
      <c r="C170" s="15">
        <v>44336</v>
      </c>
      <c r="D170" s="15"/>
      <c r="E170" s="15">
        <v>44370</v>
      </c>
      <c r="F170" s="16" t="s">
        <v>161</v>
      </c>
      <c r="G170" s="1">
        <v>17.5</v>
      </c>
      <c r="H170" s="16">
        <v>35.78</v>
      </c>
      <c r="I170" s="16">
        <f>58/30*33</f>
        <v>63.8</v>
      </c>
      <c r="J170" s="16">
        <v>50</v>
      </c>
      <c r="K170" s="16"/>
      <c r="L170" s="17">
        <v>150</v>
      </c>
      <c r="M170" s="62">
        <v>58</v>
      </c>
      <c r="N170" s="18">
        <f>(17.5+74.5*0.7)</f>
        <v>69.650000000000006</v>
      </c>
    </row>
    <row r="171" spans="1:15" hidden="1">
      <c r="A171" s="76" t="s">
        <v>125</v>
      </c>
      <c r="B171" s="76"/>
      <c r="C171" s="15">
        <v>44342</v>
      </c>
      <c r="D171" s="15"/>
      <c r="E171" s="15">
        <v>44386</v>
      </c>
      <c r="F171" s="16" t="s">
        <v>160</v>
      </c>
      <c r="G171" s="1">
        <v>12.5</v>
      </c>
      <c r="H171" s="16">
        <v>15.46</v>
      </c>
      <c r="I171" s="16">
        <f>36/30*43</f>
        <v>51.6</v>
      </c>
      <c r="J171" s="16">
        <f>50+45</f>
        <v>95</v>
      </c>
      <c r="K171" s="16"/>
      <c r="L171" s="17">
        <v>80</v>
      </c>
      <c r="M171" s="62">
        <v>33</v>
      </c>
      <c r="N171" s="18">
        <f>12.5+(L171-M171-12.5)*0.7</f>
        <v>36.65</v>
      </c>
    </row>
    <row r="172" spans="1:15" hidden="1">
      <c r="A172" s="76" t="s">
        <v>129</v>
      </c>
      <c r="B172" s="76"/>
      <c r="C172" s="15">
        <v>44348</v>
      </c>
      <c r="D172" s="15"/>
      <c r="E172" s="15">
        <v>44389</v>
      </c>
      <c r="F172" s="16" t="s">
        <v>160</v>
      </c>
      <c r="G172" s="1">
        <v>12.5</v>
      </c>
      <c r="H172" s="16">
        <v>26.22</v>
      </c>
      <c r="I172" s="16">
        <f>71/30*42</f>
        <v>99.4</v>
      </c>
      <c r="J172" s="16">
        <f>50+45</f>
        <v>95</v>
      </c>
      <c r="K172" s="16"/>
      <c r="L172" s="17">
        <v>140</v>
      </c>
      <c r="M172" s="81">
        <v>71</v>
      </c>
      <c r="N172" s="18">
        <f>(12.5+(127.5-71)*0.7)</f>
        <v>52.05</v>
      </c>
    </row>
    <row r="173" spans="1:15" hidden="1">
      <c r="A173" s="76" t="s">
        <v>124</v>
      </c>
      <c r="B173" s="76"/>
      <c r="C173" s="15">
        <v>44348</v>
      </c>
      <c r="D173" s="15"/>
      <c r="E173" s="15">
        <v>44389</v>
      </c>
      <c r="F173" s="71"/>
      <c r="H173" s="16">
        <v>11.62</v>
      </c>
      <c r="I173" s="16">
        <f>26/30*42</f>
        <v>36.4</v>
      </c>
      <c r="J173" s="16">
        <v>65</v>
      </c>
      <c r="K173" s="16"/>
      <c r="L173" s="17">
        <v>70</v>
      </c>
      <c r="M173" s="81">
        <v>26</v>
      </c>
      <c r="N173" s="18">
        <f>(70-26)*0.7</f>
        <v>30.799999999999997</v>
      </c>
    </row>
    <row r="174" spans="1:15" hidden="1">
      <c r="A174" s="76" t="s">
        <v>132</v>
      </c>
      <c r="B174" s="76"/>
      <c r="C174" s="15">
        <v>44407</v>
      </c>
      <c r="D174" s="15"/>
      <c r="E174" s="15">
        <v>44461</v>
      </c>
      <c r="F174" s="71"/>
      <c r="H174" s="16">
        <v>9.8800000000000008</v>
      </c>
      <c r="I174" s="16">
        <f>25/30*52</f>
        <v>43.333333333333336</v>
      </c>
      <c r="J174" s="16"/>
      <c r="K174" s="16"/>
      <c r="L174" s="17">
        <v>70</v>
      </c>
      <c r="M174" s="81">
        <v>25</v>
      </c>
      <c r="N174" s="18">
        <f>45*0.7</f>
        <v>31.499999999999996</v>
      </c>
    </row>
    <row r="175" spans="1:15" hidden="1">
      <c r="A175" s="76" t="s">
        <v>133</v>
      </c>
      <c r="B175" s="76"/>
      <c r="C175" s="15">
        <v>44432</v>
      </c>
      <c r="D175" s="15"/>
      <c r="E175" s="15">
        <v>44467</v>
      </c>
      <c r="F175" s="71"/>
      <c r="H175" s="16">
        <v>9.8800000000000008</v>
      </c>
      <c r="I175" s="16">
        <f>25/30*34</f>
        <v>28.333333333333336</v>
      </c>
      <c r="J175" s="16"/>
      <c r="K175" s="16"/>
      <c r="L175" s="17">
        <v>70</v>
      </c>
      <c r="M175" s="81">
        <v>25</v>
      </c>
      <c r="N175" s="18">
        <f>45*0.7</f>
        <v>31.499999999999996</v>
      </c>
    </row>
    <row r="176" spans="1:15" hidden="1">
      <c r="A176" s="76" t="s">
        <v>141</v>
      </c>
      <c r="B176" s="76"/>
      <c r="C176" s="36">
        <v>44459</v>
      </c>
      <c r="D176" s="36"/>
      <c r="E176" s="36">
        <v>44481</v>
      </c>
      <c r="F176" s="72" t="s">
        <v>161</v>
      </c>
      <c r="G176" s="79">
        <v>10</v>
      </c>
      <c r="H176" s="16">
        <v>15.15</v>
      </c>
      <c r="I176" s="16">
        <f>46/30*22</f>
        <v>33.733333333333334</v>
      </c>
      <c r="J176" s="16">
        <v>80</v>
      </c>
      <c r="K176" s="16"/>
      <c r="L176" s="17">
        <v>120</v>
      </c>
      <c r="M176" s="81">
        <v>46</v>
      </c>
      <c r="N176" s="18">
        <f>10+(120-56)*0.7</f>
        <v>54.8</v>
      </c>
    </row>
    <row r="177" spans="1:14" hidden="1">
      <c r="A177" s="76" t="s">
        <v>140</v>
      </c>
      <c r="B177" s="76"/>
      <c r="C177" s="36">
        <v>44449</v>
      </c>
      <c r="D177" s="36"/>
      <c r="E177" s="36">
        <v>44482</v>
      </c>
      <c r="F177" s="16" t="s">
        <v>160</v>
      </c>
      <c r="G177" s="1">
        <v>10</v>
      </c>
      <c r="H177" s="16">
        <v>13.4</v>
      </c>
      <c r="I177" s="16">
        <f>60/30*33</f>
        <v>66</v>
      </c>
      <c r="J177" s="16">
        <v>80</v>
      </c>
      <c r="K177" s="16"/>
      <c r="L177" s="17">
        <v>120</v>
      </c>
      <c r="M177" s="81">
        <v>61</v>
      </c>
      <c r="N177" s="18">
        <f>(10+49*0.7)</f>
        <v>44.3</v>
      </c>
    </row>
    <row r="178" spans="1:14" hidden="1">
      <c r="A178" s="76" t="s">
        <v>137</v>
      </c>
      <c r="B178" s="76"/>
      <c r="C178" s="36">
        <v>44474</v>
      </c>
      <c r="D178" s="36"/>
      <c r="E178" s="36">
        <v>44487</v>
      </c>
      <c r="F178" s="72" t="s">
        <v>161</v>
      </c>
      <c r="G178" s="79">
        <v>12.5</v>
      </c>
      <c r="H178" s="16">
        <v>15.15</v>
      </c>
      <c r="I178" s="16">
        <f>71/30*13</f>
        <v>30.766666666666666</v>
      </c>
      <c r="J178" s="16">
        <v>95</v>
      </c>
      <c r="K178" s="16"/>
      <c r="L178" s="17">
        <v>140</v>
      </c>
      <c r="M178" s="81">
        <v>71</v>
      </c>
      <c r="N178" s="18">
        <f>12.5+(56.5)*0.7</f>
        <v>52.05</v>
      </c>
    </row>
    <row r="179" spans="1:14" hidden="1">
      <c r="A179" s="76" t="s">
        <v>143</v>
      </c>
      <c r="B179" s="76"/>
      <c r="C179" s="36">
        <v>43717</v>
      </c>
      <c r="D179" s="36"/>
      <c r="E179" s="36">
        <v>44505</v>
      </c>
      <c r="F179" s="71"/>
      <c r="G179" s="1"/>
      <c r="H179" s="16">
        <v>13.4</v>
      </c>
      <c r="I179" s="16">
        <f>36*25+36/30*26</f>
        <v>931.2</v>
      </c>
      <c r="J179" s="16"/>
      <c r="K179" s="16"/>
      <c r="L179" s="17">
        <v>100</v>
      </c>
      <c r="M179" s="81">
        <v>36</v>
      </c>
      <c r="N179" s="18">
        <f>(100-36)*0.7</f>
        <v>44.8</v>
      </c>
    </row>
    <row r="180" spans="1:14" hidden="1">
      <c r="A180" s="76" t="s">
        <v>139</v>
      </c>
      <c r="B180" s="76"/>
      <c r="C180" s="36">
        <v>44492</v>
      </c>
      <c r="D180" s="36"/>
      <c r="E180" s="36">
        <v>44539</v>
      </c>
      <c r="F180" s="71"/>
      <c r="G180" s="1"/>
      <c r="H180" s="16">
        <v>16.350000000000001</v>
      </c>
      <c r="I180" s="16">
        <f>71/30*46</f>
        <v>108.86666666666667</v>
      </c>
      <c r="J180" s="16">
        <v>95</v>
      </c>
      <c r="K180" s="16"/>
      <c r="L180" s="17">
        <v>140</v>
      </c>
      <c r="M180" s="81">
        <v>71</v>
      </c>
      <c r="N180" s="18">
        <f>(140-71)*0.7/30*21</f>
        <v>33.809999999999995</v>
      </c>
    </row>
    <row r="181" spans="1:14" hidden="1">
      <c r="A181" s="76" t="s">
        <v>144</v>
      </c>
      <c r="B181" s="76"/>
      <c r="C181" s="36">
        <v>44526</v>
      </c>
      <c r="D181" s="36"/>
      <c r="E181" s="36">
        <v>44550</v>
      </c>
      <c r="F181" s="16" t="s">
        <v>160</v>
      </c>
      <c r="G181" s="1">
        <v>12.5</v>
      </c>
      <c r="H181" s="16">
        <v>13.4</v>
      </c>
      <c r="I181" s="16">
        <f>83/30*24</f>
        <v>66.400000000000006</v>
      </c>
      <c r="J181" s="16"/>
      <c r="K181" s="16"/>
      <c r="L181" s="17">
        <v>160</v>
      </c>
      <c r="M181" s="81">
        <v>94</v>
      </c>
      <c r="N181" s="18">
        <f>15+(160-15-94)*0.7/30*10</f>
        <v>26.9</v>
      </c>
    </row>
    <row r="182" spans="1:14" hidden="1">
      <c r="A182" s="76" t="s">
        <v>149</v>
      </c>
      <c r="B182" s="76"/>
      <c r="C182" s="36">
        <v>44880</v>
      </c>
      <c r="D182" s="36"/>
      <c r="E182" s="36">
        <v>44575</v>
      </c>
      <c r="F182" s="71"/>
      <c r="G182" s="1"/>
      <c r="H182" s="16">
        <v>13.4</v>
      </c>
      <c r="I182" s="16"/>
      <c r="J182" s="16">
        <v>50</v>
      </c>
      <c r="K182" s="16"/>
      <c r="L182" s="17">
        <v>140</v>
      </c>
      <c r="M182" s="81">
        <f>71</f>
        <v>71</v>
      </c>
      <c r="N182" s="18">
        <f>(140-71)*0.7</f>
        <v>48.3</v>
      </c>
    </row>
    <row r="183" spans="1:14" hidden="1">
      <c r="A183" s="76" t="s">
        <v>148</v>
      </c>
      <c r="B183" s="76"/>
      <c r="C183" s="15">
        <v>44579</v>
      </c>
      <c r="D183" s="15"/>
      <c r="E183" s="15">
        <v>44594</v>
      </c>
      <c r="F183" s="71"/>
      <c r="G183" s="1"/>
      <c r="H183" s="16">
        <v>13.4</v>
      </c>
      <c r="I183" s="16">
        <f>22/30*14</f>
        <v>10.266666666666666</v>
      </c>
      <c r="J183" s="16">
        <v>30</v>
      </c>
      <c r="K183" s="16"/>
      <c r="L183" s="17">
        <v>50</v>
      </c>
      <c r="M183" s="81">
        <v>22</v>
      </c>
      <c r="N183" s="18">
        <f>(50-22)*0.7</f>
        <v>19.599999999999998</v>
      </c>
    </row>
    <row r="184" spans="1:14" hidden="1">
      <c r="A184" s="76" t="s">
        <v>150</v>
      </c>
      <c r="B184" s="76"/>
      <c r="C184" s="15">
        <v>44899</v>
      </c>
      <c r="D184" s="15"/>
      <c r="E184" s="15">
        <v>44607</v>
      </c>
      <c r="F184" s="79" t="s">
        <v>160</v>
      </c>
      <c r="G184" s="79">
        <v>12.5</v>
      </c>
      <c r="H184" s="16">
        <v>13.4</v>
      </c>
      <c r="I184" s="16">
        <f>71/30*61</f>
        <v>144.36666666666667</v>
      </c>
      <c r="J184" s="16">
        <v>80</v>
      </c>
      <c r="K184" s="16"/>
      <c r="L184" s="17">
        <v>120</v>
      </c>
      <c r="M184" s="81">
        <v>60</v>
      </c>
      <c r="N184" s="18">
        <f>12.5+(120-72.5)*0.7</f>
        <v>45.75</v>
      </c>
    </row>
    <row r="185" spans="1:14" hidden="1">
      <c r="A185" s="76" t="s">
        <v>146</v>
      </c>
      <c r="B185" s="76"/>
      <c r="C185" s="15">
        <v>44586</v>
      </c>
      <c r="D185" s="15"/>
      <c r="E185" s="15">
        <v>44615</v>
      </c>
      <c r="F185" s="72" t="s">
        <v>161</v>
      </c>
      <c r="G185" s="79">
        <v>12.5</v>
      </c>
      <c r="H185" s="16">
        <v>15.46</v>
      </c>
      <c r="I185" s="16">
        <f>27/30*28</f>
        <v>25.2</v>
      </c>
      <c r="J185" s="16">
        <v>110</v>
      </c>
      <c r="K185" s="16"/>
      <c r="L185" s="17">
        <v>124</v>
      </c>
      <c r="M185" s="81">
        <v>51</v>
      </c>
      <c r="N185" s="18">
        <f>12.5+(124-63.5)*0.7</f>
        <v>54.849999999999994</v>
      </c>
    </row>
    <row r="186" spans="1:14" hidden="1">
      <c r="A186" s="76" t="s">
        <v>153</v>
      </c>
      <c r="B186" s="76"/>
      <c r="C186" s="15">
        <v>44623</v>
      </c>
      <c r="D186" s="15"/>
      <c r="E186" s="15">
        <v>44623</v>
      </c>
      <c r="F186" s="71"/>
      <c r="G186" s="71"/>
      <c r="H186" s="16">
        <v>11.03</v>
      </c>
      <c r="I186" s="16">
        <v>0</v>
      </c>
      <c r="J186" s="16">
        <v>15</v>
      </c>
      <c r="K186" s="16"/>
      <c r="L186" s="17">
        <v>30</v>
      </c>
      <c r="M186" s="81">
        <v>12</v>
      </c>
      <c r="N186" s="18">
        <f>(L186-M186)*0.7</f>
        <v>12.6</v>
      </c>
    </row>
    <row r="187" spans="1:14" hidden="1">
      <c r="A187" s="76" t="s">
        <v>157</v>
      </c>
      <c r="B187" s="76"/>
      <c r="C187" s="15">
        <v>44627</v>
      </c>
      <c r="D187" s="15"/>
      <c r="E187" s="15">
        <v>44627</v>
      </c>
      <c r="F187" s="72" t="s">
        <v>161</v>
      </c>
      <c r="G187" s="79">
        <v>10</v>
      </c>
      <c r="H187" s="16">
        <v>15.46</v>
      </c>
      <c r="I187" s="16">
        <v>0</v>
      </c>
      <c r="J187" s="16">
        <v>0</v>
      </c>
      <c r="K187" s="16"/>
      <c r="L187" s="17">
        <v>100</v>
      </c>
      <c r="M187" s="81">
        <v>44</v>
      </c>
      <c r="N187" s="18">
        <f>10+(46)*0.7</f>
        <v>42.199999999999996</v>
      </c>
    </row>
    <row r="188" spans="1:14" hidden="1">
      <c r="A188" s="76" t="s">
        <v>158</v>
      </c>
      <c r="B188" s="76"/>
      <c r="C188" s="15">
        <v>44627</v>
      </c>
      <c r="D188" s="15"/>
      <c r="E188" s="15">
        <v>44627</v>
      </c>
      <c r="F188" s="72" t="s">
        <v>161</v>
      </c>
      <c r="G188" s="79">
        <v>12.5</v>
      </c>
      <c r="H188" s="16">
        <v>15.46</v>
      </c>
      <c r="I188" s="16">
        <v>0</v>
      </c>
      <c r="J188" s="16">
        <v>0</v>
      </c>
      <c r="K188" s="16"/>
      <c r="L188" s="17">
        <v>125</v>
      </c>
      <c r="M188" s="81">
        <v>55</v>
      </c>
      <c r="N188" s="18">
        <f>12.5+(57.5)*0.7</f>
        <v>52.75</v>
      </c>
    </row>
    <row r="189" spans="1:14" hidden="1">
      <c r="A189" s="76" t="s">
        <v>154</v>
      </c>
      <c r="B189" s="76"/>
      <c r="C189" s="15">
        <v>44881</v>
      </c>
      <c r="D189" s="15"/>
      <c r="E189" s="15">
        <v>44628</v>
      </c>
      <c r="F189" s="71"/>
      <c r="G189" s="71"/>
      <c r="H189" s="16">
        <v>9.0299999999999994</v>
      </c>
      <c r="I189" s="16">
        <f>65*3+65/30*22</f>
        <v>242.66666666666666</v>
      </c>
      <c r="J189" s="16">
        <v>95</v>
      </c>
      <c r="K189" s="16"/>
      <c r="L189" s="17">
        <v>112</v>
      </c>
      <c r="M189" s="81">
        <v>65</v>
      </c>
      <c r="N189" s="18">
        <f>(L189-M189)*0.7</f>
        <v>32.9</v>
      </c>
    </row>
    <row r="190" spans="1:14" hidden="1">
      <c r="A190" s="76" t="s">
        <v>155</v>
      </c>
      <c r="B190" s="76"/>
      <c r="C190" s="15">
        <v>44490</v>
      </c>
      <c r="D190" s="15"/>
      <c r="E190" s="15">
        <v>44648</v>
      </c>
      <c r="F190" s="71"/>
      <c r="G190" s="71"/>
      <c r="H190" s="16">
        <v>13.4</v>
      </c>
      <c r="I190" s="16">
        <f>45*5+45/30*7</f>
        <v>235.5</v>
      </c>
      <c r="J190" s="16">
        <v>80</v>
      </c>
      <c r="K190" s="16"/>
      <c r="L190" s="17">
        <v>67.5</v>
      </c>
      <c r="M190" s="81">
        <v>45</v>
      </c>
      <c r="N190" s="18">
        <f>(L190-M190)*0.7</f>
        <v>15.749999999999998</v>
      </c>
    </row>
    <row r="191" spans="1:14" hidden="1">
      <c r="A191" s="76" t="s">
        <v>151</v>
      </c>
      <c r="B191" s="76"/>
      <c r="C191" s="15">
        <v>44926</v>
      </c>
      <c r="D191" s="15"/>
      <c r="E191" s="15">
        <v>44649</v>
      </c>
      <c r="F191" s="71"/>
      <c r="G191" s="71"/>
      <c r="H191" s="16">
        <v>9.0299999999999994</v>
      </c>
      <c r="I191" s="16">
        <f>25*2+25/30*29</f>
        <v>74.166666666666671</v>
      </c>
      <c r="J191" s="16">
        <v>80</v>
      </c>
      <c r="K191" s="16"/>
      <c r="L191" s="17">
        <v>67.5</v>
      </c>
      <c r="M191" s="81">
        <v>25</v>
      </c>
      <c r="N191" s="18">
        <f>(67.5-25)*0.7</f>
        <v>29.749999999999996</v>
      </c>
    </row>
    <row r="192" spans="1:14" hidden="1">
      <c r="A192" s="76" t="s">
        <v>152</v>
      </c>
      <c r="B192" s="76"/>
      <c r="C192" s="15">
        <v>44852</v>
      </c>
      <c r="D192" s="15"/>
      <c r="E192" s="15">
        <v>44649</v>
      </c>
      <c r="F192" s="71"/>
      <c r="G192" s="71"/>
      <c r="H192" s="16">
        <v>9.0299999999999994</v>
      </c>
      <c r="I192" s="16">
        <f>45*4+45/30*13</f>
        <v>199.5</v>
      </c>
      <c r="J192" s="16">
        <v>80</v>
      </c>
      <c r="K192" s="16"/>
      <c r="L192" s="17">
        <v>67.5</v>
      </c>
      <c r="M192" s="81">
        <v>45</v>
      </c>
      <c r="N192" s="18">
        <f>(L192-M192)*0.7</f>
        <v>15.749999999999998</v>
      </c>
    </row>
    <row r="193" spans="1:14" hidden="1">
      <c r="A193" s="76" t="s">
        <v>156</v>
      </c>
      <c r="B193" s="76"/>
      <c r="C193" s="15">
        <v>44489</v>
      </c>
      <c r="D193" s="15"/>
      <c r="E193" s="15">
        <v>44651</v>
      </c>
      <c r="F193" s="71"/>
      <c r="G193" s="71"/>
      <c r="H193" s="16">
        <v>15.46</v>
      </c>
      <c r="I193" s="16">
        <f>50*5+50/10</f>
        <v>255</v>
      </c>
      <c r="J193" s="16">
        <v>145</v>
      </c>
      <c r="K193" s="16"/>
      <c r="L193" s="17">
        <v>125</v>
      </c>
      <c r="M193" s="81">
        <v>50</v>
      </c>
      <c r="N193" s="18">
        <f>(L193-M193)*0.7</f>
        <v>52.5</v>
      </c>
    </row>
    <row r="194" spans="1:14" hidden="1">
      <c r="A194" s="76" t="s">
        <v>168</v>
      </c>
      <c r="B194" s="76"/>
      <c r="C194" s="15">
        <v>44636</v>
      </c>
      <c r="D194" s="15"/>
      <c r="E194" s="15">
        <v>44659</v>
      </c>
      <c r="F194" s="71"/>
      <c r="G194" s="16"/>
      <c r="H194" s="16">
        <v>13.72</v>
      </c>
      <c r="I194" s="16">
        <f>55/30*24</f>
        <v>44</v>
      </c>
      <c r="J194" s="16">
        <v>80</v>
      </c>
      <c r="K194" s="16"/>
      <c r="L194" s="17">
        <v>120</v>
      </c>
      <c r="M194" s="81">
        <v>55</v>
      </c>
      <c r="N194" s="18">
        <f>10+(110-M194)*0.7</f>
        <v>48.5</v>
      </c>
    </row>
    <row r="195" spans="1:14" hidden="1">
      <c r="A195" s="76" t="s">
        <v>172</v>
      </c>
      <c r="B195" s="76"/>
      <c r="C195" s="15">
        <v>44705</v>
      </c>
      <c r="D195" s="15"/>
      <c r="E195" s="15">
        <v>44715</v>
      </c>
      <c r="F195" s="71"/>
      <c r="G195" s="16"/>
      <c r="H195" s="16">
        <v>10.039999999999999</v>
      </c>
      <c r="I195" s="16">
        <f>25/30*9</f>
        <v>7.5</v>
      </c>
      <c r="J195" s="16"/>
      <c r="K195" s="16"/>
      <c r="L195" s="17">
        <v>50</v>
      </c>
      <c r="M195" s="81">
        <v>25</v>
      </c>
      <c r="N195" s="18">
        <f>(50-25)*0.7</f>
        <v>17.5</v>
      </c>
    </row>
    <row r="196" spans="1:14" hidden="1">
      <c r="A196" s="76" t="s">
        <v>173</v>
      </c>
      <c r="B196" s="76"/>
      <c r="C196" s="15">
        <v>44704</v>
      </c>
      <c r="D196" s="15"/>
      <c r="E196" s="15">
        <v>44721</v>
      </c>
      <c r="F196" s="72" t="s">
        <v>161</v>
      </c>
      <c r="G196" s="80">
        <v>12.5</v>
      </c>
      <c r="H196" s="16">
        <v>13.72</v>
      </c>
      <c r="I196" s="16">
        <f>37/30*16</f>
        <v>19.733333333333334</v>
      </c>
      <c r="J196" s="16">
        <f>50+45</f>
        <v>95</v>
      </c>
      <c r="K196" s="16"/>
      <c r="L196" s="17">
        <v>110</v>
      </c>
      <c r="M196" s="81">
        <v>37</v>
      </c>
      <c r="N196" s="84">
        <f>12.5+(97.5-37)*0.7</f>
        <v>54.849999999999994</v>
      </c>
    </row>
    <row r="197" spans="1:14" hidden="1">
      <c r="A197" s="76" t="s">
        <v>171</v>
      </c>
      <c r="B197" s="76"/>
      <c r="C197" s="15">
        <v>44648</v>
      </c>
      <c r="D197" s="15"/>
      <c r="E197" s="15">
        <v>44734</v>
      </c>
      <c r="F197" s="71"/>
      <c r="G197" s="16"/>
      <c r="H197" s="16">
        <v>13.72</v>
      </c>
      <c r="I197" s="16">
        <f>56/30*84</f>
        <v>156.80000000000001</v>
      </c>
      <c r="J197" s="16">
        <v>95</v>
      </c>
      <c r="K197" s="16"/>
      <c r="L197" s="17">
        <v>140</v>
      </c>
      <c r="M197" s="81">
        <v>56</v>
      </c>
      <c r="N197" s="18">
        <f>(140-56)*0.7</f>
        <v>58.8</v>
      </c>
    </row>
    <row r="198" spans="1:14" hidden="1">
      <c r="A198" s="76" t="s">
        <v>174</v>
      </c>
      <c r="B198" s="76"/>
      <c r="C198" s="15">
        <v>44715</v>
      </c>
      <c r="D198" s="15"/>
      <c r="E198" s="15">
        <v>44820</v>
      </c>
      <c r="F198" s="72" t="s">
        <v>161</v>
      </c>
      <c r="G198" s="80">
        <v>15</v>
      </c>
      <c r="H198" s="16">
        <v>14.6</v>
      </c>
      <c r="I198" s="16">
        <f>56/30*103</f>
        <v>192.26666666666668</v>
      </c>
      <c r="J198" s="16">
        <v>50</v>
      </c>
      <c r="K198" s="16"/>
      <c r="L198" s="17">
        <f>130</f>
        <v>130</v>
      </c>
      <c r="M198" s="81">
        <v>56</v>
      </c>
      <c r="N198" s="84">
        <f>15+(115-56)*0.7</f>
        <v>56.3</v>
      </c>
    </row>
    <row r="199" spans="1:14" hidden="1">
      <c r="A199" s="76" t="s">
        <v>184</v>
      </c>
      <c r="B199" s="76"/>
      <c r="C199" s="15">
        <v>44775</v>
      </c>
      <c r="D199" s="15">
        <v>44810</v>
      </c>
      <c r="E199" s="15">
        <v>44848</v>
      </c>
      <c r="F199" s="71"/>
      <c r="G199" s="16"/>
      <c r="H199" s="16">
        <v>23.38</v>
      </c>
      <c r="I199" s="16">
        <f>100/30*38</f>
        <v>126.66666666666667</v>
      </c>
      <c r="J199" s="16">
        <v>155</v>
      </c>
      <c r="K199" s="16"/>
      <c r="L199" s="17">
        <v>220</v>
      </c>
      <c r="M199" s="81">
        <v>100</v>
      </c>
      <c r="N199" s="18">
        <f>(L199-M199)*0.7</f>
        <v>84</v>
      </c>
    </row>
    <row r="200" spans="1:14" hidden="1">
      <c r="A200" s="76" t="s">
        <v>185</v>
      </c>
      <c r="B200" s="76"/>
      <c r="C200" s="15">
        <v>44830</v>
      </c>
      <c r="D200" s="15">
        <v>44852</v>
      </c>
      <c r="E200" s="15">
        <v>44858</v>
      </c>
      <c r="F200" s="72" t="s">
        <v>161</v>
      </c>
      <c r="G200" s="79">
        <v>12.5</v>
      </c>
      <c r="H200" s="16">
        <v>23.38</v>
      </c>
      <c r="I200" s="16">
        <f>54.5/30*6</f>
        <v>10.9</v>
      </c>
      <c r="J200" s="16">
        <v>95</v>
      </c>
      <c r="K200" s="16"/>
      <c r="L200" s="17">
        <v>140</v>
      </c>
      <c r="M200" s="81">
        <v>55.5</v>
      </c>
      <c r="N200" s="18">
        <f>12.5+(127.5-55.5)*0.7</f>
        <v>62.9</v>
      </c>
    </row>
    <row r="201" spans="1:14" hidden="1">
      <c r="A201" s="76" t="s">
        <v>183</v>
      </c>
      <c r="B201" s="76"/>
      <c r="C201" s="15">
        <v>44749</v>
      </c>
      <c r="D201" s="15">
        <v>44830</v>
      </c>
      <c r="E201" s="15">
        <v>44858</v>
      </c>
      <c r="F201" s="71"/>
      <c r="G201" s="16"/>
      <c r="H201" s="16">
        <v>11.03</v>
      </c>
      <c r="I201" s="16">
        <v>25</v>
      </c>
      <c r="J201" s="16">
        <v>15</v>
      </c>
      <c r="K201" s="16"/>
      <c r="L201" s="17">
        <v>80</v>
      </c>
      <c r="M201" s="81">
        <v>25</v>
      </c>
      <c r="N201" s="18">
        <f>55*0.7</f>
        <v>38.5</v>
      </c>
    </row>
    <row r="202" spans="1:14" hidden="1">
      <c r="A202" s="76" t="s">
        <v>193</v>
      </c>
      <c r="B202" s="76"/>
      <c r="C202" s="15">
        <v>44872</v>
      </c>
      <c r="D202" s="15">
        <v>44879</v>
      </c>
      <c r="E202" s="36">
        <v>44882</v>
      </c>
      <c r="F202" s="71"/>
      <c r="G202" s="16"/>
      <c r="H202" s="16">
        <v>10.039999999999999</v>
      </c>
      <c r="I202" s="16">
        <f>25/30*3</f>
        <v>2.5</v>
      </c>
      <c r="J202" s="16"/>
      <c r="K202" s="16"/>
      <c r="L202" s="17">
        <v>40</v>
      </c>
      <c r="M202" s="81">
        <v>25</v>
      </c>
      <c r="N202" s="18">
        <f>(L202-M202)*0.7</f>
        <v>10.5</v>
      </c>
    </row>
    <row r="203" spans="1:14" hidden="1">
      <c r="A203" s="76" t="s">
        <v>190</v>
      </c>
      <c r="B203" s="76"/>
      <c r="C203" s="15"/>
      <c r="D203" s="15">
        <v>44879</v>
      </c>
      <c r="E203" s="36">
        <v>44887</v>
      </c>
      <c r="F203" s="76" t="s">
        <v>161</v>
      </c>
      <c r="G203" s="80">
        <v>10</v>
      </c>
      <c r="H203" s="16">
        <v>14.6</v>
      </c>
      <c r="I203" s="16">
        <f>34/30*8</f>
        <v>9.0666666666666664</v>
      </c>
      <c r="J203" s="16">
        <v>45</v>
      </c>
      <c r="K203" s="16"/>
      <c r="L203" s="17">
        <v>90</v>
      </c>
      <c r="M203" s="81">
        <v>34</v>
      </c>
      <c r="N203" s="84">
        <f>10+(80-34)*0.7</f>
        <v>42.199999999999996</v>
      </c>
    </row>
    <row r="204" spans="1:14" hidden="1">
      <c r="A204" s="76" t="s">
        <v>213</v>
      </c>
      <c r="B204" s="76"/>
      <c r="C204" s="15">
        <v>44894</v>
      </c>
      <c r="D204" s="15">
        <v>44908</v>
      </c>
      <c r="E204" s="36">
        <v>44944</v>
      </c>
      <c r="F204" s="71" t="s">
        <v>161</v>
      </c>
      <c r="G204" s="16">
        <v>15</v>
      </c>
      <c r="H204" s="16">
        <v>31.72</v>
      </c>
      <c r="I204" s="16">
        <f>50/30*35</f>
        <v>58.333333333333336</v>
      </c>
      <c r="J204" s="16">
        <f>60+50</f>
        <v>110</v>
      </c>
      <c r="K204" s="16"/>
      <c r="L204" s="17">
        <v>130</v>
      </c>
      <c r="M204" s="81">
        <f>19+2+3.5*2+11*2</f>
        <v>50</v>
      </c>
      <c r="N204" s="90">
        <f>15+(L204-M204-15)*0.7</f>
        <v>60.5</v>
      </c>
    </row>
    <row r="205" spans="1:14" hidden="1">
      <c r="A205" s="76" t="s">
        <v>227</v>
      </c>
      <c r="B205" s="76"/>
      <c r="C205" s="15">
        <v>44949</v>
      </c>
      <c r="D205" s="15">
        <v>44953</v>
      </c>
      <c r="E205" s="36">
        <v>44966</v>
      </c>
      <c r="F205" s="71" t="s">
        <v>160</v>
      </c>
      <c r="G205" s="16">
        <v>15</v>
      </c>
      <c r="H205" s="16">
        <v>16.38</v>
      </c>
      <c r="I205" s="16">
        <f>61.5/30*12</f>
        <v>24.599999999999998</v>
      </c>
      <c r="J205" s="16">
        <f>50+60</f>
        <v>110</v>
      </c>
      <c r="K205" s="16"/>
      <c r="L205" s="17">
        <v>160</v>
      </c>
      <c r="M205" s="82">
        <f>32.5+7+22</f>
        <v>61.5</v>
      </c>
      <c r="N205" s="70">
        <f>15+(L205-M205-15)*0.7</f>
        <v>73.449999999999989</v>
      </c>
    </row>
    <row r="206" spans="1:14" hidden="1">
      <c r="A206" s="76" t="s">
        <v>228</v>
      </c>
      <c r="B206" s="76"/>
      <c r="C206" s="15">
        <v>44957</v>
      </c>
      <c r="D206" s="15">
        <v>44957</v>
      </c>
      <c r="E206" s="36">
        <v>44977</v>
      </c>
      <c r="F206" s="71"/>
      <c r="G206" s="16"/>
      <c r="H206" s="16">
        <v>20.61</v>
      </c>
      <c r="I206" s="16">
        <f>66/30*20</f>
        <v>44</v>
      </c>
      <c r="J206" s="16">
        <v>90</v>
      </c>
      <c r="K206" s="16"/>
      <c r="L206" s="17">
        <v>155</v>
      </c>
      <c r="M206" s="82">
        <v>54</v>
      </c>
      <c r="N206" s="70">
        <f>(L206-M206)*0.7</f>
        <v>70.699999999999989</v>
      </c>
    </row>
    <row r="207" spans="1:14" hidden="1">
      <c r="A207" s="76" t="s">
        <v>187</v>
      </c>
      <c r="B207" s="76"/>
      <c r="C207" s="36"/>
      <c r="D207" s="36">
        <v>44991</v>
      </c>
      <c r="E207" s="15">
        <v>44991</v>
      </c>
      <c r="F207" s="71"/>
      <c r="G207" s="71"/>
      <c r="H207" s="16">
        <v>13.31</v>
      </c>
      <c r="I207" s="71"/>
      <c r="J207" s="71">
        <v>45</v>
      </c>
      <c r="K207" s="71"/>
      <c r="L207" s="17">
        <v>80</v>
      </c>
      <c r="M207" s="17">
        <v>27</v>
      </c>
      <c r="N207" s="70">
        <f>(L207-M207)*0.7/30*24</f>
        <v>29.68</v>
      </c>
    </row>
    <row r="208" spans="1:14" hidden="1">
      <c r="A208" s="76" t="s">
        <v>90</v>
      </c>
      <c r="B208" s="76"/>
      <c r="C208" s="36"/>
      <c r="D208" s="36"/>
      <c r="E208" s="15">
        <v>45008</v>
      </c>
      <c r="F208" s="71"/>
      <c r="G208" s="71"/>
      <c r="H208" s="16">
        <v>22.79</v>
      </c>
      <c r="I208" s="71"/>
      <c r="J208" s="71"/>
      <c r="K208" s="71"/>
      <c r="L208" s="17">
        <v>30</v>
      </c>
      <c r="M208" s="17">
        <v>18</v>
      </c>
      <c r="N208" s="70">
        <f>(L208-M208)*0.8/30*7</f>
        <v>2.2400000000000002</v>
      </c>
    </row>
    <row r="209" spans="1:15" hidden="1">
      <c r="A209" s="76" t="s">
        <v>255</v>
      </c>
      <c r="B209" s="76"/>
      <c r="C209" s="36">
        <v>44691</v>
      </c>
      <c r="D209" s="36">
        <v>44994</v>
      </c>
      <c r="E209" s="15">
        <v>410236</v>
      </c>
      <c r="F209" s="71"/>
      <c r="G209" s="71"/>
      <c r="H209" s="16">
        <v>11.03</v>
      </c>
      <c r="I209" s="71">
        <f>25*14</f>
        <v>350</v>
      </c>
      <c r="J209" s="71">
        <f>30+50</f>
        <v>80</v>
      </c>
      <c r="K209" s="71"/>
      <c r="L209" s="17">
        <v>90</v>
      </c>
      <c r="M209" s="17">
        <v>25</v>
      </c>
      <c r="N209" s="70">
        <f>(L209-M209)*0.7/30*21</f>
        <v>31.849999999999998</v>
      </c>
    </row>
    <row r="210" spans="1:15" hidden="1">
      <c r="C210" s="36"/>
      <c r="D210" s="36"/>
      <c r="F210" s="28"/>
      <c r="G210" s="28"/>
      <c r="H210" s="30"/>
      <c r="I210" s="28"/>
      <c r="M210" s="68" t="s">
        <v>4</v>
      </c>
      <c r="N210" s="18">
        <f>SUM(N2:N209)</f>
        <v>8228.4160000000065</v>
      </c>
      <c r="O210" s="1"/>
    </row>
    <row r="211" spans="1:15" hidden="1">
      <c r="C211" s="36"/>
      <c r="D211" s="36"/>
      <c r="F211" s="28"/>
      <c r="G211" s="28"/>
      <c r="H211" s="30"/>
      <c r="I211" s="28"/>
      <c r="M211" s="66" t="s">
        <v>251</v>
      </c>
      <c r="N211" s="79">
        <f>N210-O213</f>
        <v>7568.476000000006</v>
      </c>
    </row>
    <row r="212" spans="1:15" hidden="1">
      <c r="C212" s="36"/>
      <c r="D212" s="36"/>
      <c r="F212" s="28"/>
      <c r="G212" s="28"/>
      <c r="H212" s="30"/>
      <c r="I212" s="28"/>
    </row>
    <row r="213" spans="1:15">
      <c r="L213" t="s">
        <v>275</v>
      </c>
      <c r="M213" s="66">
        <v>9.4</v>
      </c>
      <c r="N213">
        <f>2.9*20</f>
        <v>58</v>
      </c>
      <c r="O213">
        <f>SUBTOTAL(9,M213:N214)</f>
        <v>659.94</v>
      </c>
    </row>
    <row r="214" spans="1:15">
      <c r="A214" s="28"/>
      <c r="B214" s="28"/>
      <c r="E214" s="15"/>
      <c r="F214" s="1"/>
      <c r="G214" s="1"/>
      <c r="H214" s="1"/>
      <c r="I214" s="1"/>
      <c r="J214" s="1"/>
      <c r="K214" s="1"/>
      <c r="L214" t="s">
        <v>271</v>
      </c>
      <c r="M214" s="66">
        <v>12.54</v>
      </c>
      <c r="N214">
        <v>580</v>
      </c>
    </row>
    <row r="216" spans="1:15">
      <c r="H216" s="30"/>
    </row>
    <row r="217" spans="1:15">
      <c r="I217" s="42"/>
    </row>
  </sheetData>
  <autoFilter ref="A1:P212">
    <filterColumn colId="1">
      <customFilters>
        <customFilter operator="notEqual" val=" "/>
      </customFilters>
    </filterColumn>
    <sortState ref="A101:P213">
      <sortCondition ref="E1:E213"/>
    </sortState>
  </autoFilter>
  <pageMargins left="0.7" right="0.7" top="0.75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>
  <dimension ref="A1:P120"/>
  <sheetViews>
    <sheetView topLeftCell="B82" workbookViewId="0">
      <selection activeCell="H110" sqref="H110:I112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3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5"/>
      <c r="J2" s="5"/>
      <c r="K2" s="5">
        <f>F2+H2+J2</f>
        <v>10</v>
      </c>
      <c r="L2" s="6">
        <v>40</v>
      </c>
      <c r="M2" s="61">
        <v>25</v>
      </c>
      <c r="N2" s="6">
        <f t="shared" ref="N2:N35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5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5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9" t="s">
        <v>18</v>
      </c>
      <c r="B5" s="9"/>
      <c r="C5" s="2"/>
      <c r="D5" s="2"/>
      <c r="E5" s="4">
        <v>42335</v>
      </c>
      <c r="F5" s="5"/>
      <c r="G5" s="49"/>
      <c r="H5" s="5"/>
      <c r="I5" s="5"/>
      <c r="J5" s="5"/>
      <c r="K5" s="5"/>
      <c r="L5" s="6">
        <v>90</v>
      </c>
      <c r="M5" s="61">
        <v>25</v>
      </c>
      <c r="N5" s="6">
        <f t="shared" si="0"/>
        <v>45.5</v>
      </c>
    </row>
    <row r="6" spans="1:15">
      <c r="A6" s="2" t="s">
        <v>16</v>
      </c>
      <c r="B6" s="2"/>
      <c r="C6" s="2"/>
      <c r="D6" s="2"/>
      <c r="E6" s="4">
        <v>42396</v>
      </c>
      <c r="F6" s="5"/>
      <c r="G6" s="49"/>
      <c r="H6" s="5"/>
      <c r="I6" s="5"/>
      <c r="J6" s="5"/>
      <c r="K6" s="5"/>
      <c r="L6" s="6">
        <v>50</v>
      </c>
      <c r="M6" s="61">
        <v>22</v>
      </c>
      <c r="N6" s="6">
        <f t="shared" si="0"/>
        <v>19.599999999999998</v>
      </c>
    </row>
    <row r="7" spans="1:15">
      <c r="A7" s="2" t="s">
        <v>22</v>
      </c>
      <c r="B7" s="2"/>
      <c r="C7" s="4">
        <v>42546</v>
      </c>
      <c r="D7" s="4"/>
      <c r="E7" s="4">
        <v>42571</v>
      </c>
      <c r="F7" s="5"/>
      <c r="G7" s="49"/>
      <c r="H7" s="5">
        <f>6.9+8.5</f>
        <v>15.4</v>
      </c>
      <c r="I7" s="5">
        <f>25*25/30</f>
        <v>20.833333333333332</v>
      </c>
      <c r="J7" s="5"/>
      <c r="K7" s="5"/>
      <c r="L7" s="6">
        <v>120</v>
      </c>
      <c r="M7" s="61">
        <v>25</v>
      </c>
      <c r="N7" s="6">
        <f t="shared" si="0"/>
        <v>66.5</v>
      </c>
    </row>
    <row r="8" spans="1:15">
      <c r="A8" s="2" t="s">
        <v>23</v>
      </c>
      <c r="B8" s="2"/>
      <c r="C8" s="4">
        <v>42560</v>
      </c>
      <c r="D8" s="4"/>
      <c r="E8" s="4">
        <v>42571</v>
      </c>
      <c r="F8" s="5"/>
      <c r="G8" s="49"/>
      <c r="H8" s="5">
        <v>8.5</v>
      </c>
      <c r="I8" s="5">
        <f>25*41/30</f>
        <v>34.166666666666664</v>
      </c>
      <c r="J8" s="5"/>
      <c r="K8" s="5"/>
      <c r="L8" s="6">
        <v>107.5</v>
      </c>
      <c r="M8" s="61">
        <v>25</v>
      </c>
      <c r="N8" s="6">
        <f t="shared" si="0"/>
        <v>57.749999999999993</v>
      </c>
    </row>
    <row r="9" spans="1:15">
      <c r="A9" s="2" t="s">
        <v>24</v>
      </c>
      <c r="B9" s="2"/>
      <c r="C9" s="4">
        <v>42530</v>
      </c>
      <c r="D9" s="4"/>
      <c r="E9" s="4">
        <v>42579</v>
      </c>
      <c r="F9" s="5"/>
      <c r="G9" s="49"/>
      <c r="H9" s="5">
        <f>8.5+6.9</f>
        <v>15.4</v>
      </c>
      <c r="I9" s="5">
        <f>25*52/30</f>
        <v>43.333333333333336</v>
      </c>
      <c r="J9" s="5"/>
      <c r="K9" s="5"/>
      <c r="L9" s="6">
        <v>90</v>
      </c>
      <c r="M9" s="61">
        <v>25</v>
      </c>
      <c r="N9" s="6">
        <f t="shared" si="0"/>
        <v>45.5</v>
      </c>
    </row>
    <row r="10" spans="1:15">
      <c r="A10" s="2" t="s">
        <v>26</v>
      </c>
      <c r="B10" s="2"/>
      <c r="C10" s="4">
        <v>42633</v>
      </c>
      <c r="D10" s="4"/>
      <c r="E10" s="4">
        <v>42644</v>
      </c>
      <c r="F10" s="5"/>
      <c r="G10" s="49"/>
      <c r="H10" s="5">
        <v>8.17</v>
      </c>
      <c r="I10" s="5">
        <f>25/30*10</f>
        <v>8.3333333333333339</v>
      </c>
      <c r="J10" s="5"/>
      <c r="K10" s="5"/>
      <c r="L10" s="6">
        <v>70</v>
      </c>
      <c r="M10" s="61">
        <v>25</v>
      </c>
      <c r="N10" s="6">
        <f t="shared" si="0"/>
        <v>31.499999999999996</v>
      </c>
    </row>
    <row r="11" spans="1:15">
      <c r="A11" s="2" t="s">
        <v>27</v>
      </c>
      <c r="B11" s="2"/>
      <c r="C11" s="4">
        <v>42656</v>
      </c>
      <c r="D11" s="4"/>
      <c r="E11" s="4">
        <v>42705</v>
      </c>
      <c r="F11" s="5"/>
      <c r="G11" s="49"/>
      <c r="H11" s="5">
        <v>8.17</v>
      </c>
      <c r="I11" s="5">
        <f>M11/30*47</f>
        <v>39.166666666666671</v>
      </c>
      <c r="J11" s="5"/>
      <c r="K11" s="5"/>
      <c r="L11" s="6">
        <v>40</v>
      </c>
      <c r="M11" s="62">
        <v>25</v>
      </c>
      <c r="N11" s="18">
        <f t="shared" si="0"/>
        <v>10.5</v>
      </c>
    </row>
    <row r="12" spans="1:15">
      <c r="A12" s="2" t="s">
        <v>29</v>
      </c>
      <c r="B12" s="2"/>
      <c r="C12" s="4">
        <v>42683</v>
      </c>
      <c r="D12" s="4"/>
      <c r="E12" s="4">
        <v>42718</v>
      </c>
      <c r="F12" s="5"/>
      <c r="G12" s="49"/>
      <c r="H12" s="5">
        <v>8.9700000000000006</v>
      </c>
      <c r="I12" s="5">
        <f>M12/30*35</f>
        <v>42</v>
      </c>
      <c r="J12" s="5"/>
      <c r="K12" s="5"/>
      <c r="L12" s="6">
        <f>105</f>
        <v>105</v>
      </c>
      <c r="M12" s="62">
        <v>36</v>
      </c>
      <c r="N12" s="18">
        <f t="shared" si="0"/>
        <v>48.3</v>
      </c>
    </row>
    <row r="13" spans="1:15">
      <c r="A13" s="2" t="s">
        <v>28</v>
      </c>
      <c r="B13" s="2"/>
      <c r="C13" s="4">
        <v>42711</v>
      </c>
      <c r="D13" s="4"/>
      <c r="E13" s="4">
        <v>42734</v>
      </c>
      <c r="F13" s="5"/>
      <c r="G13" s="49"/>
      <c r="H13" s="5">
        <v>8.17</v>
      </c>
      <c r="I13" s="5">
        <f>M13/30*23</f>
        <v>19.166666666666668</v>
      </c>
      <c r="J13" s="5"/>
      <c r="K13" s="5"/>
      <c r="L13" s="6">
        <v>40</v>
      </c>
      <c r="M13" s="62">
        <v>25</v>
      </c>
      <c r="N13" s="18">
        <f t="shared" si="0"/>
        <v>10.5</v>
      </c>
    </row>
    <row r="14" spans="1:15">
      <c r="A14" s="2" t="s">
        <v>30</v>
      </c>
      <c r="B14" s="2"/>
      <c r="C14" s="4">
        <v>42732</v>
      </c>
      <c r="D14" s="4"/>
      <c r="E14" s="4">
        <v>42759</v>
      </c>
      <c r="F14" s="5"/>
      <c r="G14" s="49"/>
      <c r="H14" s="5">
        <v>18.8</v>
      </c>
      <c r="I14" s="5">
        <f>M14/30*27</f>
        <v>23.400000000000002</v>
      </c>
      <c r="J14" s="5"/>
      <c r="K14" s="5"/>
      <c r="L14" s="6">
        <v>90</v>
      </c>
      <c r="M14" s="62">
        <v>26</v>
      </c>
      <c r="N14" s="18">
        <f t="shared" si="0"/>
        <v>44.8</v>
      </c>
    </row>
    <row r="15" spans="1:15">
      <c r="A15" s="2" t="s">
        <v>31</v>
      </c>
      <c r="B15" s="2"/>
      <c r="C15" s="4">
        <v>42735</v>
      </c>
      <c r="D15" s="4"/>
      <c r="E15" s="4">
        <v>42782</v>
      </c>
      <c r="F15" s="5">
        <v>50</v>
      </c>
      <c r="G15" s="49"/>
      <c r="H15" s="5">
        <v>20.63</v>
      </c>
      <c r="I15" s="5">
        <f>M15/30*46</f>
        <v>42.933333333333337</v>
      </c>
      <c r="J15" s="5"/>
      <c r="K15" s="5"/>
      <c r="L15" s="6">
        <v>92</v>
      </c>
      <c r="M15" s="61">
        <v>28</v>
      </c>
      <c r="N15" s="6">
        <f t="shared" si="0"/>
        <v>44.8</v>
      </c>
    </row>
    <row r="16" spans="1:15">
      <c r="A16" s="2" t="s">
        <v>32</v>
      </c>
      <c r="B16" s="2"/>
      <c r="C16" s="4">
        <v>42857</v>
      </c>
      <c r="D16" s="4"/>
      <c r="E16" s="4">
        <v>42866</v>
      </c>
      <c r="F16" s="5"/>
      <c r="G16" s="49"/>
      <c r="H16" s="5"/>
      <c r="I16" s="5">
        <f>23/30*9</f>
        <v>6.9</v>
      </c>
      <c r="J16" s="5">
        <f>60*0.7</f>
        <v>42</v>
      </c>
      <c r="K16" s="5"/>
      <c r="L16" s="6">
        <v>60</v>
      </c>
      <c r="M16" s="61">
        <v>23</v>
      </c>
      <c r="N16" s="6">
        <f t="shared" si="0"/>
        <v>25.9</v>
      </c>
    </row>
    <row r="17" spans="1:15">
      <c r="A17" s="2" t="s">
        <v>37</v>
      </c>
      <c r="B17" s="2"/>
      <c r="C17" s="4">
        <v>42891</v>
      </c>
      <c r="D17" s="4"/>
      <c r="E17" s="4">
        <v>42915</v>
      </c>
      <c r="F17" s="5"/>
      <c r="G17" s="49"/>
      <c r="H17" s="5">
        <v>6.83</v>
      </c>
      <c r="I17" s="5">
        <f>24/30*24</f>
        <v>19.200000000000003</v>
      </c>
      <c r="J17" s="5"/>
      <c r="K17" s="5"/>
      <c r="L17" s="6">
        <v>70</v>
      </c>
      <c r="M17" s="61">
        <v>24</v>
      </c>
      <c r="N17" s="6">
        <f t="shared" si="0"/>
        <v>32.199999999999996</v>
      </c>
    </row>
    <row r="18" spans="1:15">
      <c r="A18" s="2" t="s">
        <v>39</v>
      </c>
      <c r="B18" s="2"/>
      <c r="C18" s="4">
        <v>43081</v>
      </c>
      <c r="D18" s="4"/>
      <c r="E18" s="4">
        <v>43109</v>
      </c>
      <c r="F18" s="5"/>
      <c r="G18" s="49"/>
      <c r="H18" s="5">
        <v>9.83</v>
      </c>
      <c r="I18" s="5">
        <f>36/30*28</f>
        <v>33.6</v>
      </c>
      <c r="J18" s="5"/>
      <c r="K18" s="5"/>
      <c r="L18" s="6">
        <v>120</v>
      </c>
      <c r="M18" s="61">
        <v>36</v>
      </c>
      <c r="N18" s="6">
        <f t="shared" si="0"/>
        <v>58.8</v>
      </c>
    </row>
    <row r="19" spans="1:15">
      <c r="A19" s="22" t="s">
        <v>56</v>
      </c>
      <c r="B19" s="22"/>
      <c r="C19" s="4">
        <v>43361</v>
      </c>
      <c r="D19" s="4"/>
      <c r="E19" s="4">
        <v>43132</v>
      </c>
      <c r="F19" s="5"/>
      <c r="G19" s="49"/>
      <c r="H19" s="5">
        <v>14.11</v>
      </c>
      <c r="I19" s="5">
        <f>25*4+25/30*12</f>
        <v>110</v>
      </c>
      <c r="J19" s="5"/>
      <c r="K19" s="5"/>
      <c r="L19" s="6">
        <v>75</v>
      </c>
      <c r="M19" s="61">
        <v>25</v>
      </c>
      <c r="N19" s="6">
        <f t="shared" si="0"/>
        <v>35</v>
      </c>
    </row>
    <row r="20" spans="1:15">
      <c r="A20" s="2" t="s">
        <v>40</v>
      </c>
      <c r="B20" s="2"/>
      <c r="C20" s="4">
        <v>43106</v>
      </c>
      <c r="D20" s="4"/>
      <c r="E20" s="4">
        <v>43146</v>
      </c>
      <c r="F20" s="5"/>
      <c r="G20" s="49"/>
      <c r="H20" s="5">
        <v>8.2899999999999991</v>
      </c>
      <c r="I20" s="5">
        <f>25/30*39</f>
        <v>32.5</v>
      </c>
      <c r="J20" s="5"/>
      <c r="K20" s="5"/>
      <c r="L20" s="6">
        <v>70</v>
      </c>
      <c r="M20" s="61">
        <v>26</v>
      </c>
      <c r="N20" s="6">
        <f t="shared" si="0"/>
        <v>30.799999999999997</v>
      </c>
    </row>
    <row r="21" spans="1:15">
      <c r="A21" s="2" t="s">
        <v>44</v>
      </c>
      <c r="B21" s="2"/>
      <c r="C21" s="4">
        <v>43196</v>
      </c>
      <c r="D21" s="4"/>
      <c r="E21" s="4">
        <v>43250</v>
      </c>
      <c r="F21" s="5"/>
      <c r="G21" s="49"/>
      <c r="H21" s="5">
        <v>13.78</v>
      </c>
      <c r="I21" s="5">
        <f>25*24/30+25</f>
        <v>45</v>
      </c>
      <c r="J21" s="5"/>
      <c r="K21" s="5"/>
      <c r="L21" s="6">
        <f>60</f>
        <v>60</v>
      </c>
      <c r="M21" s="61">
        <v>25</v>
      </c>
      <c r="N21" s="6">
        <f t="shared" si="0"/>
        <v>24.5</v>
      </c>
    </row>
    <row r="22" spans="1:15">
      <c r="A22" s="22" t="s">
        <v>47</v>
      </c>
      <c r="B22" s="22"/>
      <c r="C22" s="4">
        <v>43355</v>
      </c>
      <c r="D22" s="4"/>
      <c r="E22" s="4">
        <v>43277</v>
      </c>
      <c r="F22" s="5"/>
      <c r="G22" s="49"/>
      <c r="H22" s="5">
        <v>19.98</v>
      </c>
      <c r="I22" s="5">
        <f>36*2+36/30*16</f>
        <v>91.2</v>
      </c>
      <c r="J22" s="5"/>
      <c r="K22" s="5"/>
      <c r="L22" s="6">
        <v>105</v>
      </c>
      <c r="M22" s="61">
        <v>36</v>
      </c>
      <c r="N22" s="6">
        <f t="shared" si="0"/>
        <v>48.3</v>
      </c>
    </row>
    <row r="23" spans="1:15">
      <c r="A23" s="22" t="s">
        <v>48</v>
      </c>
      <c r="B23" s="22"/>
      <c r="C23" s="4">
        <v>43367</v>
      </c>
      <c r="D23" s="4"/>
      <c r="E23" s="4">
        <v>43284</v>
      </c>
      <c r="F23" s="5"/>
      <c r="G23" s="49"/>
      <c r="H23" s="5">
        <v>9.1</v>
      </c>
      <c r="I23" s="5">
        <f>25+25/30*27</f>
        <v>47.5</v>
      </c>
      <c r="J23" s="5"/>
      <c r="K23" s="5"/>
      <c r="L23" s="6">
        <v>75</v>
      </c>
      <c r="M23" s="61">
        <v>25</v>
      </c>
      <c r="N23" s="6">
        <f t="shared" si="0"/>
        <v>35</v>
      </c>
    </row>
    <row r="24" spans="1:15">
      <c r="A24" s="2" t="s">
        <v>45</v>
      </c>
      <c r="B24" s="2"/>
      <c r="C24" s="4"/>
      <c r="D24" s="4"/>
      <c r="E24" s="4">
        <v>43286</v>
      </c>
      <c r="F24" s="5"/>
      <c r="G24" s="49"/>
      <c r="H24" s="5">
        <v>11.56</v>
      </c>
      <c r="I24" s="5"/>
      <c r="J24" s="5"/>
      <c r="K24" s="5"/>
      <c r="L24" s="6">
        <v>150</v>
      </c>
      <c r="M24" s="61">
        <v>76</v>
      </c>
      <c r="N24" s="6">
        <f t="shared" si="0"/>
        <v>51.8</v>
      </c>
      <c r="O24" s="20"/>
    </row>
    <row r="25" spans="1:15">
      <c r="A25" s="22" t="s">
        <v>49</v>
      </c>
      <c r="B25" s="22"/>
      <c r="C25" s="4">
        <v>43367</v>
      </c>
      <c r="D25" s="4"/>
      <c r="E25" s="4">
        <v>43291</v>
      </c>
      <c r="F25" s="5"/>
      <c r="G25" s="49"/>
      <c r="H25" s="5">
        <v>10.039999999999999</v>
      </c>
      <c r="I25" s="5">
        <f>50+25/30*14</f>
        <v>61.666666666666671</v>
      </c>
      <c r="J25" s="5"/>
      <c r="K25" s="5"/>
      <c r="L25" s="6">
        <v>50</v>
      </c>
      <c r="M25" s="61">
        <v>22</v>
      </c>
      <c r="N25" s="18">
        <f t="shared" si="0"/>
        <v>19.599999999999998</v>
      </c>
    </row>
    <row r="26" spans="1:15">
      <c r="A26" s="22" t="s">
        <v>51</v>
      </c>
      <c r="B26" s="22"/>
      <c r="C26" s="4">
        <v>43358</v>
      </c>
      <c r="D26" s="4"/>
      <c r="E26" s="4">
        <v>43291</v>
      </c>
      <c r="F26" s="5"/>
      <c r="G26" s="49"/>
      <c r="H26" s="5">
        <v>10.039999999999999</v>
      </c>
      <c r="I26" s="5">
        <f>50+25/30*5</f>
        <v>54.166666666666664</v>
      </c>
      <c r="J26" s="5"/>
      <c r="K26" s="5"/>
      <c r="L26" s="6">
        <v>75</v>
      </c>
      <c r="M26" s="61">
        <v>25</v>
      </c>
      <c r="N26" s="6">
        <f t="shared" si="0"/>
        <v>35</v>
      </c>
    </row>
    <row r="27" spans="1:15">
      <c r="A27" s="22" t="s">
        <v>52</v>
      </c>
      <c r="B27" s="22"/>
      <c r="C27" s="4">
        <v>43367</v>
      </c>
      <c r="D27" s="4"/>
      <c r="E27" s="4">
        <v>43308</v>
      </c>
      <c r="F27" s="5"/>
      <c r="G27" s="49"/>
      <c r="H27" s="5">
        <v>10.86</v>
      </c>
      <c r="I27" s="5">
        <f>25+25/30*27</f>
        <v>47.5</v>
      </c>
      <c r="J27" s="5"/>
      <c r="K27" s="5"/>
      <c r="L27" s="6">
        <v>75</v>
      </c>
      <c r="M27" s="61">
        <v>25</v>
      </c>
      <c r="N27" s="27">
        <f t="shared" si="0"/>
        <v>35</v>
      </c>
    </row>
    <row r="28" spans="1:15">
      <c r="A28" s="22" t="s">
        <v>50</v>
      </c>
      <c r="B28" s="22"/>
      <c r="C28" s="4">
        <v>43367</v>
      </c>
      <c r="D28" s="4"/>
      <c r="E28" s="4">
        <v>43312</v>
      </c>
      <c r="F28" s="5"/>
      <c r="G28" s="49"/>
      <c r="H28" s="5">
        <v>10.86</v>
      </c>
      <c r="I28" s="5">
        <f>25+25/30*24</f>
        <v>45</v>
      </c>
      <c r="J28" s="5"/>
      <c r="K28" s="5"/>
      <c r="L28" s="6">
        <v>70</v>
      </c>
      <c r="M28" s="61">
        <v>25</v>
      </c>
      <c r="N28" s="6">
        <f t="shared" si="0"/>
        <v>31.499999999999996</v>
      </c>
    </row>
    <row r="29" spans="1:15">
      <c r="A29" s="22" t="s">
        <v>55</v>
      </c>
      <c r="B29" s="22"/>
      <c r="C29" s="4">
        <v>43363</v>
      </c>
      <c r="D29" s="4"/>
      <c r="E29" s="4">
        <v>43440</v>
      </c>
      <c r="F29" s="5"/>
      <c r="G29" s="49"/>
      <c r="H29" s="5">
        <v>14.11</v>
      </c>
      <c r="I29" s="5">
        <f>25*2+25*16/30</f>
        <v>63.333333333333336</v>
      </c>
      <c r="J29" s="5"/>
      <c r="K29" s="5"/>
      <c r="L29" s="6">
        <v>75</v>
      </c>
      <c r="M29" s="61">
        <v>25</v>
      </c>
      <c r="N29" s="6">
        <f t="shared" si="0"/>
        <v>35</v>
      </c>
    </row>
    <row r="30" spans="1:15">
      <c r="A30" s="22" t="s">
        <v>54</v>
      </c>
      <c r="B30" s="22"/>
      <c r="C30" s="4">
        <v>43167</v>
      </c>
      <c r="D30" s="4"/>
      <c r="E30" s="4">
        <v>43455</v>
      </c>
      <c r="F30" s="5"/>
      <c r="G30" s="49"/>
      <c r="H30" s="5">
        <v>10.86</v>
      </c>
      <c r="I30" s="5">
        <f>9*25+25*13/30</f>
        <v>235.83333333333334</v>
      </c>
      <c r="J30" s="5"/>
      <c r="K30" s="5"/>
      <c r="L30" s="6">
        <v>90</v>
      </c>
      <c r="M30" s="61">
        <v>36</v>
      </c>
      <c r="N30" s="6">
        <f t="shared" si="0"/>
        <v>37.799999999999997</v>
      </c>
    </row>
    <row r="31" spans="1:15">
      <c r="A31" s="22" t="s">
        <v>57</v>
      </c>
      <c r="B31" s="55"/>
      <c r="C31" s="31">
        <v>43478</v>
      </c>
      <c r="D31" s="31"/>
      <c r="E31" s="4">
        <v>43536</v>
      </c>
      <c r="F31" s="5"/>
      <c r="G31" s="49"/>
      <c r="H31" s="5">
        <v>10.86</v>
      </c>
      <c r="I31" s="5">
        <v>25</v>
      </c>
      <c r="J31" s="5"/>
      <c r="K31" s="5"/>
      <c r="L31" s="6">
        <v>70</v>
      </c>
      <c r="M31" s="61">
        <v>25</v>
      </c>
      <c r="N31" s="6">
        <f t="shared" si="0"/>
        <v>31.499999999999996</v>
      </c>
    </row>
    <row r="32" spans="1:15">
      <c r="A32" s="22" t="s">
        <v>59</v>
      </c>
      <c r="B32" s="22"/>
      <c r="C32" s="4">
        <v>43528</v>
      </c>
      <c r="D32" s="4"/>
      <c r="E32" s="4">
        <v>43538</v>
      </c>
      <c r="F32" s="5"/>
      <c r="G32" s="49"/>
      <c r="H32" s="5">
        <v>14.92</v>
      </c>
      <c r="I32" s="5">
        <f>77/30*10</f>
        <v>25.666666666666668</v>
      </c>
      <c r="J32" s="5"/>
      <c r="K32" s="5"/>
      <c r="L32" s="6">
        <v>169</v>
      </c>
      <c r="M32" s="61">
        <f>64+11+2</f>
        <v>77</v>
      </c>
      <c r="N32" s="6">
        <f t="shared" si="0"/>
        <v>64.399999999999991</v>
      </c>
    </row>
    <row r="33" spans="1:15">
      <c r="A33" s="22" t="s">
        <v>58</v>
      </c>
      <c r="B33" s="22"/>
      <c r="C33" s="4">
        <v>43534</v>
      </c>
      <c r="D33" s="4"/>
      <c r="E33" s="4">
        <v>43542</v>
      </c>
      <c r="F33" s="5"/>
      <c r="G33" s="49"/>
      <c r="H33" s="5">
        <f>10.86*2</f>
        <v>21.72</v>
      </c>
      <c r="I33" s="5">
        <v>0</v>
      </c>
      <c r="J33" s="5"/>
      <c r="K33" s="5"/>
      <c r="L33" s="6">
        <v>120</v>
      </c>
      <c r="M33" s="61">
        <f>60+11</f>
        <v>71</v>
      </c>
      <c r="N33" s="6">
        <f t="shared" si="0"/>
        <v>34.299999999999997</v>
      </c>
    </row>
    <row r="34" spans="1:15">
      <c r="A34" s="22" t="s">
        <v>61</v>
      </c>
      <c r="B34" s="22"/>
      <c r="C34" s="4">
        <v>43482</v>
      </c>
      <c r="D34" s="4"/>
      <c r="E34" s="4">
        <v>43542</v>
      </c>
      <c r="F34" s="5"/>
      <c r="G34" s="49"/>
      <c r="H34" s="5">
        <v>11.1</v>
      </c>
      <c r="I34" s="5">
        <f>25*2</f>
        <v>50</v>
      </c>
      <c r="J34" s="5"/>
      <c r="K34" s="5"/>
      <c r="L34" s="6">
        <v>70</v>
      </c>
      <c r="M34" s="61">
        <v>26</v>
      </c>
      <c r="N34" s="6">
        <f t="shared" si="0"/>
        <v>30.799999999999997</v>
      </c>
    </row>
    <row r="35" spans="1:15">
      <c r="A35" s="22" t="s">
        <v>63</v>
      </c>
      <c r="B35" s="22"/>
      <c r="C35" s="4">
        <v>43593</v>
      </c>
      <c r="D35" s="4"/>
      <c r="E35" s="4">
        <v>43605</v>
      </c>
      <c r="F35" s="5"/>
      <c r="G35" s="49"/>
      <c r="H35" s="5">
        <f>10.86*2+20</f>
        <v>41.72</v>
      </c>
      <c r="I35" s="5">
        <f>18/30*12</f>
        <v>7.1999999999999993</v>
      </c>
      <c r="J35" s="5"/>
      <c r="K35" s="5"/>
      <c r="L35" s="6">
        <v>100</v>
      </c>
      <c r="M35" s="61">
        <f>11+7</f>
        <v>18</v>
      </c>
      <c r="N35" s="6">
        <f t="shared" si="0"/>
        <v>57.4</v>
      </c>
    </row>
    <row r="36" spans="1:15">
      <c r="A36" s="22" t="s">
        <v>67</v>
      </c>
      <c r="B36" s="22"/>
      <c r="C36" s="4">
        <v>43600</v>
      </c>
      <c r="D36" s="4"/>
      <c r="E36" s="4">
        <v>43629</v>
      </c>
      <c r="F36" s="5"/>
      <c r="G36" s="49"/>
      <c r="H36" s="5">
        <f>10.86*2</f>
        <v>21.72</v>
      </c>
      <c r="I36" s="5">
        <f>22/30*58</f>
        <v>42.533333333333331</v>
      </c>
      <c r="J36" s="5">
        <v>50</v>
      </c>
      <c r="K36" s="5">
        <f>H36+I36+J36</f>
        <v>114.25333333333333</v>
      </c>
      <c r="L36" s="6">
        <v>60</v>
      </c>
      <c r="M36" s="61">
        <v>25</v>
      </c>
      <c r="N36" s="6">
        <v>0</v>
      </c>
    </row>
    <row r="37" spans="1:15">
      <c r="A37" s="22" t="s">
        <v>66</v>
      </c>
      <c r="B37" s="22"/>
      <c r="C37" s="4">
        <v>43600</v>
      </c>
      <c r="D37" s="4"/>
      <c r="E37" s="4">
        <v>43629</v>
      </c>
      <c r="F37" s="5"/>
      <c r="G37" s="49"/>
      <c r="H37" s="5">
        <f>10.86</f>
        <v>10.86</v>
      </c>
      <c r="I37" s="5">
        <f>39/30*58</f>
        <v>75.400000000000006</v>
      </c>
      <c r="J37" s="5"/>
      <c r="K37" s="5">
        <f>H37+I37</f>
        <v>86.26</v>
      </c>
      <c r="L37" s="6">
        <v>110</v>
      </c>
      <c r="M37" s="61">
        <f>25+11+3</f>
        <v>39</v>
      </c>
      <c r="N37" s="6">
        <v>0</v>
      </c>
      <c r="O37" t="s">
        <v>73</v>
      </c>
    </row>
    <row r="38" spans="1:15">
      <c r="A38" s="22" t="s">
        <v>64</v>
      </c>
      <c r="B38" s="22"/>
      <c r="C38" s="4">
        <v>43627</v>
      </c>
      <c r="D38" s="4"/>
      <c r="E38" s="4">
        <v>43629</v>
      </c>
      <c r="F38" s="5"/>
      <c r="G38" s="49"/>
      <c r="H38" s="5">
        <v>10.86</v>
      </c>
      <c r="I38" s="5">
        <f>25/30*2</f>
        <v>1.6666666666666667</v>
      </c>
      <c r="J38" s="5"/>
      <c r="K38" s="5">
        <f>H38+I38</f>
        <v>12.526666666666666</v>
      </c>
      <c r="L38" s="6">
        <v>75</v>
      </c>
      <c r="M38" s="61">
        <v>33</v>
      </c>
      <c r="N38" s="6">
        <f t="shared" ref="N38:N51" si="1">(L38-M38)*0.7</f>
        <v>29.4</v>
      </c>
    </row>
    <row r="39" spans="1:15">
      <c r="A39" s="22" t="s">
        <v>65</v>
      </c>
      <c r="B39" s="22"/>
      <c r="C39" s="4">
        <v>43622</v>
      </c>
      <c r="D39" s="4"/>
      <c r="E39" s="4">
        <v>43650</v>
      </c>
      <c r="F39" s="5"/>
      <c r="G39" s="49"/>
      <c r="H39" s="5">
        <v>10.86</v>
      </c>
      <c r="I39" s="5"/>
      <c r="J39" s="5"/>
      <c r="K39" s="5"/>
      <c r="L39" s="6">
        <v>120</v>
      </c>
      <c r="M39" s="61">
        <v>60</v>
      </c>
      <c r="N39" s="6">
        <f t="shared" si="1"/>
        <v>42</v>
      </c>
    </row>
    <row r="40" spans="1:15">
      <c r="A40" s="22" t="s">
        <v>71</v>
      </c>
      <c r="B40" s="22"/>
      <c r="C40" s="4">
        <v>43635</v>
      </c>
      <c r="D40" s="4"/>
      <c r="E40" s="4">
        <v>43662</v>
      </c>
      <c r="F40" s="5"/>
      <c r="G40" s="49"/>
      <c r="H40" s="5">
        <f>10.86*2</f>
        <v>21.72</v>
      </c>
      <c r="I40" s="5"/>
      <c r="J40" s="5"/>
      <c r="K40" s="5"/>
      <c r="L40" s="6">
        <v>70</v>
      </c>
      <c r="M40" s="61">
        <v>26</v>
      </c>
      <c r="N40" s="6">
        <f t="shared" si="1"/>
        <v>30.799999999999997</v>
      </c>
      <c r="O40" t="s">
        <v>72</v>
      </c>
    </row>
    <row r="41" spans="1:15">
      <c r="A41" s="2" t="s">
        <v>75</v>
      </c>
      <c r="B41" s="2"/>
      <c r="C41" s="4">
        <v>43656</v>
      </c>
      <c r="D41" s="4"/>
      <c r="E41" s="4">
        <v>43711</v>
      </c>
      <c r="F41" s="5"/>
      <c r="G41" s="49"/>
      <c r="H41" s="5">
        <v>10.86</v>
      </c>
      <c r="I41" s="5">
        <f>36/30*48</f>
        <v>57.599999999999994</v>
      </c>
      <c r="J41" s="5"/>
      <c r="K41" s="5"/>
      <c r="L41" s="6">
        <v>105</v>
      </c>
      <c r="M41" s="61">
        <v>36</v>
      </c>
      <c r="N41" s="6">
        <f t="shared" si="1"/>
        <v>48.3</v>
      </c>
    </row>
    <row r="42" spans="1:15">
      <c r="A42" s="2" t="s">
        <v>76</v>
      </c>
      <c r="B42" s="2"/>
      <c r="C42" s="4">
        <v>43677</v>
      </c>
      <c r="D42" s="4"/>
      <c r="E42" s="4">
        <v>43713</v>
      </c>
      <c r="F42" s="5"/>
      <c r="G42" s="49"/>
      <c r="H42" s="5">
        <v>24.06</v>
      </c>
      <c r="I42" s="5">
        <f>80/30*35</f>
        <v>93.333333333333329</v>
      </c>
      <c r="J42" s="5">
        <v>40</v>
      </c>
      <c r="K42" s="5"/>
      <c r="L42" s="6">
        <v>149</v>
      </c>
      <c r="M42" s="61">
        <v>80</v>
      </c>
      <c r="N42" s="6">
        <f t="shared" si="1"/>
        <v>48.3</v>
      </c>
      <c r="O42" t="s">
        <v>79</v>
      </c>
    </row>
    <row r="43" spans="1:15">
      <c r="A43" s="2" t="s">
        <v>81</v>
      </c>
      <c r="B43" s="2"/>
      <c r="C43" s="4">
        <v>43788</v>
      </c>
      <c r="D43" s="4"/>
      <c r="E43" s="4">
        <v>43865</v>
      </c>
      <c r="F43" s="5"/>
      <c r="G43" s="49"/>
      <c r="H43" s="5">
        <v>9.14</v>
      </c>
      <c r="I43" s="5">
        <f>25/30*45</f>
        <v>37.5</v>
      </c>
      <c r="J43" s="5"/>
      <c r="K43" s="5"/>
      <c r="L43" s="6">
        <v>90</v>
      </c>
      <c r="M43" s="61">
        <v>25</v>
      </c>
      <c r="N43" s="6">
        <f t="shared" si="1"/>
        <v>45.5</v>
      </c>
    </row>
    <row r="44" spans="1:15">
      <c r="A44" s="22" t="s">
        <v>87</v>
      </c>
      <c r="B44" s="22"/>
      <c r="C44" s="35">
        <v>43878</v>
      </c>
      <c r="D44" s="35"/>
      <c r="E44" s="35">
        <v>43892</v>
      </c>
      <c r="F44" s="5"/>
      <c r="G44" s="49"/>
      <c r="H44" s="5">
        <v>12.19</v>
      </c>
      <c r="I44" s="5">
        <v>5.5</v>
      </c>
      <c r="J44" s="5"/>
      <c r="K44" s="5"/>
      <c r="L44" s="6">
        <v>25</v>
      </c>
      <c r="M44" s="61">
        <v>11</v>
      </c>
      <c r="N44" s="6">
        <f t="shared" si="1"/>
        <v>9.7999999999999989</v>
      </c>
    </row>
    <row r="45" spans="1:15">
      <c r="A45" s="22" t="s">
        <v>89</v>
      </c>
      <c r="B45" s="22"/>
      <c r="C45" s="35">
        <v>43908</v>
      </c>
      <c r="D45" s="35"/>
      <c r="E45" s="35">
        <v>43893</v>
      </c>
      <c r="F45" s="5"/>
      <c r="G45" s="49"/>
      <c r="H45" s="5">
        <v>9.6</v>
      </c>
      <c r="I45" s="5">
        <v>5.5</v>
      </c>
      <c r="J45" s="5"/>
      <c r="K45" s="5"/>
      <c r="L45" s="6">
        <v>25</v>
      </c>
      <c r="M45" s="61">
        <v>11</v>
      </c>
      <c r="N45" s="6">
        <f t="shared" si="1"/>
        <v>9.7999999999999989</v>
      </c>
    </row>
    <row r="46" spans="1:15">
      <c r="A46" s="22" t="s">
        <v>85</v>
      </c>
      <c r="B46" s="22"/>
      <c r="C46" s="35">
        <v>43881</v>
      </c>
      <c r="D46" s="35"/>
      <c r="E46" s="35">
        <v>43895</v>
      </c>
      <c r="F46" s="5"/>
      <c r="G46" s="49"/>
      <c r="H46" s="5">
        <v>9.14</v>
      </c>
      <c r="I46" s="5">
        <f>11/30*15</f>
        <v>5.5</v>
      </c>
      <c r="J46" s="5"/>
      <c r="K46" s="5"/>
      <c r="L46" s="6">
        <v>25</v>
      </c>
      <c r="M46" s="61">
        <v>11</v>
      </c>
      <c r="N46" s="6">
        <f t="shared" si="1"/>
        <v>9.7999999999999989</v>
      </c>
    </row>
    <row r="47" spans="1:15">
      <c r="A47" s="39" t="s">
        <v>82</v>
      </c>
      <c r="B47" s="28"/>
      <c r="C47" s="36">
        <v>40235</v>
      </c>
      <c r="D47" s="36"/>
      <c r="E47" s="36">
        <v>43901</v>
      </c>
      <c r="F47" s="5"/>
      <c r="G47" s="34"/>
      <c r="H47" s="37">
        <v>9.6</v>
      </c>
      <c r="I47" s="5">
        <f>11/2</f>
        <v>5.5</v>
      </c>
      <c r="J47" s="5"/>
      <c r="K47" s="5"/>
      <c r="L47" s="17">
        <v>25</v>
      </c>
      <c r="M47" s="63">
        <v>11</v>
      </c>
      <c r="N47" s="26">
        <f t="shared" si="1"/>
        <v>9.7999999999999989</v>
      </c>
    </row>
    <row r="48" spans="1:15">
      <c r="A48" s="22" t="s">
        <v>84</v>
      </c>
      <c r="B48" s="22"/>
      <c r="C48" s="35">
        <v>43889</v>
      </c>
      <c r="D48" s="35"/>
      <c r="E48" s="35">
        <v>43903</v>
      </c>
      <c r="F48" s="5"/>
      <c r="G48" s="49"/>
      <c r="H48" s="5">
        <v>9.14</v>
      </c>
      <c r="I48" s="5">
        <f>11/30*15</f>
        <v>5.5</v>
      </c>
      <c r="J48" s="5"/>
      <c r="K48" s="5"/>
      <c r="L48" s="6">
        <v>25</v>
      </c>
      <c r="M48" s="61">
        <v>11</v>
      </c>
      <c r="N48" s="6">
        <f t="shared" si="1"/>
        <v>9.7999999999999989</v>
      </c>
    </row>
    <row r="49" spans="1:16">
      <c r="A49" s="22" t="s">
        <v>80</v>
      </c>
      <c r="B49" s="22"/>
      <c r="C49" s="35">
        <v>43873</v>
      </c>
      <c r="D49" s="35"/>
      <c r="E49" s="35">
        <v>43910</v>
      </c>
      <c r="F49" s="5"/>
      <c r="G49" s="49"/>
      <c r="H49" s="5">
        <v>21.84</v>
      </c>
      <c r="I49" s="5">
        <f>56/30*38</f>
        <v>70.933333333333337</v>
      </c>
      <c r="J49" s="5"/>
      <c r="K49" s="5"/>
      <c r="L49" s="6">
        <v>120</v>
      </c>
      <c r="M49" s="61">
        <v>56</v>
      </c>
      <c r="N49" s="6">
        <f t="shared" si="1"/>
        <v>44.8</v>
      </c>
    </row>
    <row r="50" spans="1:16">
      <c r="A50" s="22" t="s">
        <v>83</v>
      </c>
      <c r="B50" s="22"/>
      <c r="C50" s="35">
        <v>43872</v>
      </c>
      <c r="D50" s="35"/>
      <c r="E50" s="35">
        <v>43913</v>
      </c>
      <c r="F50" s="5"/>
      <c r="G50" s="49"/>
      <c r="H50" s="5">
        <v>12.24</v>
      </c>
      <c r="I50" s="5">
        <f>45/30*42</f>
        <v>63</v>
      </c>
      <c r="J50" s="5"/>
      <c r="K50" s="5"/>
      <c r="L50" s="6">
        <v>85</v>
      </c>
      <c r="M50" s="61">
        <v>45</v>
      </c>
      <c r="N50" s="6">
        <f t="shared" si="1"/>
        <v>28</v>
      </c>
    </row>
    <row r="51" spans="1:16">
      <c r="A51" s="22" t="s">
        <v>88</v>
      </c>
      <c r="B51" s="22"/>
      <c r="C51" s="35">
        <v>43855</v>
      </c>
      <c r="D51" s="35"/>
      <c r="E51" s="35">
        <v>43941</v>
      </c>
      <c r="F51" s="5"/>
      <c r="G51" s="49"/>
      <c r="H51" s="5">
        <v>13.93</v>
      </c>
      <c r="I51" s="5">
        <f>56/30*85</f>
        <v>158.66666666666666</v>
      </c>
      <c r="J51" s="5"/>
      <c r="K51" s="5"/>
      <c r="L51" s="6">
        <v>110</v>
      </c>
      <c r="M51" s="61">
        <v>56</v>
      </c>
      <c r="N51" s="6">
        <f t="shared" si="1"/>
        <v>37.799999999999997</v>
      </c>
    </row>
    <row r="52" spans="1:16">
      <c r="A52" s="22" t="s">
        <v>90</v>
      </c>
      <c r="B52" s="22"/>
      <c r="C52" s="35" t="s">
        <v>96</v>
      </c>
      <c r="D52" s="35"/>
      <c r="E52" s="35">
        <v>44015</v>
      </c>
      <c r="F52" s="5" t="s">
        <v>160</v>
      </c>
      <c r="G52" s="49">
        <v>12.5</v>
      </c>
      <c r="H52" s="5">
        <v>11.29</v>
      </c>
      <c r="I52" s="5">
        <f>100</f>
        <v>100</v>
      </c>
      <c r="J52" s="5"/>
      <c r="K52" s="5"/>
      <c r="L52" s="6">
        <v>75</v>
      </c>
      <c r="M52" s="61">
        <f>25+11</f>
        <v>36</v>
      </c>
      <c r="N52" s="6">
        <f>12.5+(62.5-M52)*0.7</f>
        <v>31.049999999999997</v>
      </c>
      <c r="P52" s="41"/>
    </row>
    <row r="53" spans="1:16">
      <c r="A53" s="22" t="s">
        <v>97</v>
      </c>
      <c r="B53" s="22"/>
      <c r="C53" s="35">
        <v>43990</v>
      </c>
      <c r="D53" s="35"/>
      <c r="E53" s="35">
        <v>44036</v>
      </c>
      <c r="F53" s="5"/>
      <c r="G53" s="49"/>
      <c r="H53" s="5">
        <v>8.75</v>
      </c>
      <c r="I53" s="5">
        <f>56/30*46</f>
        <v>85.866666666666674</v>
      </c>
      <c r="J53" s="5"/>
      <c r="K53" s="5"/>
      <c r="L53" s="6">
        <v>110</v>
      </c>
      <c r="M53" s="61">
        <f>45+11</f>
        <v>56</v>
      </c>
      <c r="N53" s="6">
        <f>(L53-M53)*0.7</f>
        <v>37.799999999999997</v>
      </c>
    </row>
    <row r="54" spans="1:16">
      <c r="A54" s="22" t="s">
        <v>95</v>
      </c>
      <c r="B54" s="22"/>
      <c r="C54" s="35">
        <v>44028</v>
      </c>
      <c r="D54" s="35"/>
      <c r="E54" s="35">
        <v>44040</v>
      </c>
      <c r="F54" s="5"/>
      <c r="G54" s="49"/>
      <c r="H54" s="5">
        <v>8.75</v>
      </c>
      <c r="I54" s="5">
        <f>41/30*12</f>
        <v>16.399999999999999</v>
      </c>
      <c r="J54" s="5"/>
      <c r="K54" s="5"/>
      <c r="L54" s="6">
        <v>60</v>
      </c>
      <c r="M54" s="61">
        <v>41</v>
      </c>
      <c r="N54" s="6">
        <f>(L54-M54)*0.7</f>
        <v>13.299999999999999</v>
      </c>
    </row>
    <row r="55" spans="1:16">
      <c r="A55" s="22" t="s">
        <v>98</v>
      </c>
      <c r="B55" s="22"/>
      <c r="C55" s="35">
        <v>44048</v>
      </c>
      <c r="D55" s="35"/>
      <c r="E55" s="35">
        <v>44081</v>
      </c>
      <c r="F55" s="5" t="s">
        <v>160</v>
      </c>
      <c r="G55" s="49">
        <v>17.5</v>
      </c>
      <c r="H55" s="5">
        <v>27.88</v>
      </c>
      <c r="I55" s="5">
        <f>58/30*32</f>
        <v>61.866666666666667</v>
      </c>
      <c r="J55" s="5">
        <v>125</v>
      </c>
      <c r="K55" s="5"/>
      <c r="L55" s="6">
        <v>140</v>
      </c>
      <c r="M55" s="61">
        <f>25+33</f>
        <v>58</v>
      </c>
      <c r="N55" s="6">
        <f>17.5+64.5*0.7</f>
        <v>62.65</v>
      </c>
      <c r="P55" s="41"/>
    </row>
    <row r="56" spans="1:16">
      <c r="A56" s="22" t="s">
        <v>91</v>
      </c>
      <c r="B56" s="22"/>
      <c r="C56" s="35">
        <v>44011</v>
      </c>
      <c r="D56" s="35"/>
      <c r="E56" s="35">
        <v>44084</v>
      </c>
      <c r="F56" s="5"/>
      <c r="G56" s="49"/>
      <c r="H56" s="5">
        <v>11.29</v>
      </c>
      <c r="I56" s="5">
        <f>25/30*71</f>
        <v>59.166666666666671</v>
      </c>
      <c r="J56" s="5"/>
      <c r="K56" s="5"/>
      <c r="L56" s="6">
        <v>40</v>
      </c>
      <c r="M56" s="61">
        <v>25</v>
      </c>
      <c r="N56" s="6">
        <f>(L56-M56)*0.7</f>
        <v>10.5</v>
      </c>
    </row>
    <row r="57" spans="1:16">
      <c r="A57" s="2" t="s">
        <v>99</v>
      </c>
      <c r="B57" s="2"/>
      <c r="C57" s="35">
        <v>44084</v>
      </c>
      <c r="D57" s="35"/>
      <c r="E57" s="35">
        <v>44105</v>
      </c>
      <c r="F57" s="5" t="s">
        <v>160</v>
      </c>
      <c r="G57" s="49">
        <v>5</v>
      </c>
      <c r="H57" s="5">
        <v>12.24</v>
      </c>
      <c r="I57" s="5">
        <f>25/30*20</f>
        <v>16.666666666666668</v>
      </c>
      <c r="J57" s="5"/>
      <c r="K57" s="5"/>
      <c r="L57" s="43">
        <v>40</v>
      </c>
      <c r="M57" s="61">
        <v>22</v>
      </c>
      <c r="N57" s="6">
        <f>5+13*0.7</f>
        <v>14.1</v>
      </c>
      <c r="P57" s="41"/>
    </row>
    <row r="58" spans="1:16">
      <c r="A58" s="2" t="s">
        <v>102</v>
      </c>
      <c r="B58" s="2"/>
      <c r="C58" s="4" t="s">
        <v>103</v>
      </c>
      <c r="D58" s="4"/>
      <c r="E58" s="4">
        <v>44110</v>
      </c>
      <c r="F58" s="5" t="s">
        <v>160</v>
      </c>
      <c r="G58" s="49">
        <v>10</v>
      </c>
      <c r="H58" s="5">
        <v>36.65</v>
      </c>
      <c r="I58" s="5">
        <f>115/30*26</f>
        <v>99.666666666666671</v>
      </c>
      <c r="J58" s="5"/>
      <c r="K58" s="5"/>
      <c r="L58" s="6">
        <v>180</v>
      </c>
      <c r="M58" s="61">
        <v>115</v>
      </c>
      <c r="N58" s="6">
        <f>10+55*0.7</f>
        <v>48.5</v>
      </c>
      <c r="P58" s="41"/>
    </row>
    <row r="59" spans="1:16">
      <c r="A59" s="2" t="s">
        <v>94</v>
      </c>
      <c r="B59" s="2"/>
      <c r="C59" s="35">
        <v>44124</v>
      </c>
      <c r="D59" s="35"/>
      <c r="E59" s="35">
        <v>44124</v>
      </c>
      <c r="F59" s="5"/>
      <c r="G59" s="49"/>
      <c r="H59" s="5">
        <v>7.25</v>
      </c>
      <c r="I59" s="5">
        <v>0</v>
      </c>
      <c r="J59" s="5"/>
      <c r="K59" s="5"/>
      <c r="L59" s="6">
        <v>25</v>
      </c>
      <c r="M59" s="61">
        <v>11</v>
      </c>
      <c r="N59" s="6">
        <f>(L59-M59)*0.7</f>
        <v>9.7999999999999989</v>
      </c>
    </row>
    <row r="60" spans="1:16">
      <c r="A60" s="2" t="s">
        <v>100</v>
      </c>
      <c r="B60" s="2"/>
      <c r="C60" s="4">
        <v>44018</v>
      </c>
      <c r="D60" s="4"/>
      <c r="E60" s="4">
        <v>44124</v>
      </c>
      <c r="F60" s="40"/>
      <c r="G60" s="2"/>
      <c r="H60" s="5">
        <v>9.5</v>
      </c>
      <c r="I60" s="5">
        <f>25/30*104</f>
        <v>86.666666666666671</v>
      </c>
      <c r="J60" s="5"/>
      <c r="K60" s="5"/>
      <c r="L60" s="6">
        <v>70</v>
      </c>
      <c r="M60" s="61">
        <v>25</v>
      </c>
      <c r="N60" s="6">
        <f>(L60-M60)*0.7</f>
        <v>31.499999999999996</v>
      </c>
    </row>
    <row r="61" spans="1:16">
      <c r="A61" s="2" t="s">
        <v>101</v>
      </c>
      <c r="B61" s="2"/>
      <c r="C61" s="4">
        <v>44070</v>
      </c>
      <c r="D61" s="4"/>
      <c r="E61" s="4">
        <v>44131</v>
      </c>
      <c r="F61" s="40"/>
      <c r="G61" s="2"/>
      <c r="H61" s="5">
        <v>13.93</v>
      </c>
      <c r="I61" s="5">
        <f>71/30*60</f>
        <v>142</v>
      </c>
      <c r="J61" s="5"/>
      <c r="K61" s="5"/>
      <c r="L61" s="6">
        <v>120</v>
      </c>
      <c r="M61" s="61">
        <f>60+11</f>
        <v>71</v>
      </c>
      <c r="N61" s="6">
        <f>(L61-M61)*0.7</f>
        <v>34.299999999999997</v>
      </c>
    </row>
    <row r="62" spans="1:16">
      <c r="A62" s="22" t="s">
        <v>104</v>
      </c>
      <c r="B62" s="22"/>
      <c r="C62" s="4">
        <v>44159</v>
      </c>
      <c r="D62" s="4"/>
      <c r="E62" s="4">
        <v>44187</v>
      </c>
      <c r="F62" s="40"/>
      <c r="G62" s="2"/>
      <c r="H62" s="5">
        <v>13.93</v>
      </c>
      <c r="I62" s="5">
        <f>36/30*28</f>
        <v>33.6</v>
      </c>
      <c r="J62" s="5"/>
      <c r="K62" s="5"/>
      <c r="L62" s="6">
        <v>110</v>
      </c>
      <c r="M62" s="61">
        <f>25+11</f>
        <v>36</v>
      </c>
      <c r="N62" s="6">
        <f>(L62-M62)*0.7</f>
        <v>51.8</v>
      </c>
    </row>
    <row r="63" spans="1:16">
      <c r="A63" s="22" t="s">
        <v>120</v>
      </c>
      <c r="B63" s="22"/>
      <c r="C63" s="4">
        <v>44169</v>
      </c>
      <c r="D63" s="4"/>
      <c r="E63" s="4">
        <v>44208</v>
      </c>
      <c r="F63" s="5" t="s">
        <v>160</v>
      </c>
      <c r="G63" s="49">
        <v>10</v>
      </c>
      <c r="H63" s="5"/>
      <c r="I63" s="5">
        <f>41/30*38</f>
        <v>51.933333333333337</v>
      </c>
      <c r="J63" s="5"/>
      <c r="K63" s="5"/>
      <c r="L63" s="6">
        <v>70</v>
      </c>
      <c r="M63" s="61">
        <v>45</v>
      </c>
      <c r="N63" s="5">
        <f>10+(60-45)*0.7</f>
        <v>20.5</v>
      </c>
      <c r="O63" s="1" t="s">
        <v>145</v>
      </c>
    </row>
    <row r="64" spans="1:16">
      <c r="A64" s="22" t="s">
        <v>108</v>
      </c>
      <c r="B64" s="22"/>
      <c r="C64" s="4">
        <v>44185</v>
      </c>
      <c r="D64" s="4"/>
      <c r="E64" s="4">
        <v>44242</v>
      </c>
      <c r="F64" s="5" t="s">
        <v>160</v>
      </c>
      <c r="G64" s="49">
        <v>20</v>
      </c>
      <c r="H64" s="5">
        <v>26.48</v>
      </c>
      <c r="I64" s="5">
        <f>50/30*55</f>
        <v>91.666666666666671</v>
      </c>
      <c r="J64" s="5">
        <v>160</v>
      </c>
      <c r="K64" s="5"/>
      <c r="L64" s="6">
        <v>190</v>
      </c>
      <c r="M64" s="61">
        <v>61</v>
      </c>
      <c r="N64" s="5">
        <f>(20+(170-61)*0.7)</f>
        <v>96.3</v>
      </c>
      <c r="O64" s="1" t="s">
        <v>145</v>
      </c>
    </row>
    <row r="65" spans="1:15">
      <c r="A65" s="22" t="s">
        <v>109</v>
      </c>
      <c r="B65" s="22"/>
      <c r="C65" s="4">
        <v>44209</v>
      </c>
      <c r="D65" s="4"/>
      <c r="E65" s="4">
        <v>44250</v>
      </c>
      <c r="F65" s="5" t="s">
        <v>160</v>
      </c>
      <c r="G65" s="49">
        <v>22.5</v>
      </c>
      <c r="H65" s="5">
        <v>22.83</v>
      </c>
      <c r="I65" s="5">
        <f>100/30*40</f>
        <v>133.33333333333334</v>
      </c>
      <c r="J65" s="5">
        <v>125</v>
      </c>
      <c r="K65" s="5"/>
      <c r="L65" s="6">
        <v>210</v>
      </c>
      <c r="M65" s="61">
        <v>100</v>
      </c>
      <c r="N65" s="6">
        <f>(22.5+87.5*0.7)</f>
        <v>83.75</v>
      </c>
    </row>
    <row r="66" spans="1:15">
      <c r="A66" s="2" t="s">
        <v>113</v>
      </c>
      <c r="B66" s="2"/>
      <c r="C66" s="4">
        <v>44245</v>
      </c>
      <c r="D66" s="4"/>
      <c r="E66" s="4">
        <v>44271</v>
      </c>
      <c r="F66" s="5" t="s">
        <v>160</v>
      </c>
      <c r="G66" s="49">
        <v>15</v>
      </c>
      <c r="H66" s="5">
        <v>26.76</v>
      </c>
      <c r="I66" s="5">
        <f>67/30*28</f>
        <v>62.533333333333331</v>
      </c>
      <c r="J66" s="5"/>
      <c r="K66" s="5"/>
      <c r="L66" s="6">
        <v>140</v>
      </c>
      <c r="M66" s="61">
        <v>67</v>
      </c>
      <c r="N66" s="6">
        <f>(15+0.7*58)</f>
        <v>55.599999999999994</v>
      </c>
    </row>
    <row r="67" spans="1:15">
      <c r="A67" s="2" t="s">
        <v>114</v>
      </c>
      <c r="B67" s="2"/>
      <c r="C67" s="4">
        <v>44222</v>
      </c>
      <c r="D67" s="4"/>
      <c r="E67" s="4">
        <v>44279</v>
      </c>
      <c r="F67" s="5" t="s">
        <v>160</v>
      </c>
      <c r="G67" s="49">
        <v>12.5</v>
      </c>
      <c r="H67" s="5">
        <v>13.4</v>
      </c>
      <c r="I67" s="5">
        <f>56/30*58</f>
        <v>108.26666666666667</v>
      </c>
      <c r="J67" s="5">
        <v>100</v>
      </c>
      <c r="K67" s="5"/>
      <c r="L67" s="6">
        <v>140</v>
      </c>
      <c r="M67" s="61">
        <v>56</v>
      </c>
      <c r="N67" s="5">
        <f>(12.5+71.5*0.7)</f>
        <v>62.55</v>
      </c>
      <c r="O67" s="1" t="s">
        <v>145</v>
      </c>
    </row>
    <row r="68" spans="1:15">
      <c r="A68" s="2" t="s">
        <v>112</v>
      </c>
      <c r="B68" s="2"/>
      <c r="C68" s="4">
        <v>44270</v>
      </c>
      <c r="D68" s="4"/>
      <c r="E68" s="4">
        <v>44286</v>
      </c>
      <c r="F68" s="5" t="s">
        <v>160</v>
      </c>
      <c r="G68" s="49">
        <v>17.5</v>
      </c>
      <c r="H68" s="5">
        <v>31.96</v>
      </c>
      <c r="I68" s="5">
        <f>55/30*16</f>
        <v>29.333333333333332</v>
      </c>
      <c r="J68" s="5">
        <v>75</v>
      </c>
      <c r="K68" s="5"/>
      <c r="L68" s="6">
        <v>100</v>
      </c>
      <c r="M68" s="61">
        <v>55</v>
      </c>
      <c r="N68" s="6">
        <f>(17.5+27.5*0.7)</f>
        <v>36.75</v>
      </c>
    </row>
    <row r="69" spans="1:15">
      <c r="A69" s="2" t="s">
        <v>119</v>
      </c>
      <c r="B69" s="2"/>
      <c r="C69" s="4">
        <v>44281</v>
      </c>
      <c r="D69" s="4"/>
      <c r="E69" s="4">
        <v>44316</v>
      </c>
      <c r="F69" s="40"/>
      <c r="G69" s="2"/>
      <c r="H69" s="5">
        <v>14.26</v>
      </c>
      <c r="I69" s="5">
        <f>45/30*34</f>
        <v>51</v>
      </c>
      <c r="J69" s="5"/>
      <c r="K69" s="5"/>
      <c r="L69" s="6">
        <v>110</v>
      </c>
      <c r="M69" s="61">
        <v>45</v>
      </c>
      <c r="N69" s="6">
        <f>(65*0.7)</f>
        <v>45.5</v>
      </c>
    </row>
    <row r="70" spans="1:15">
      <c r="A70" s="22" t="s">
        <v>121</v>
      </c>
      <c r="B70" s="22"/>
      <c r="C70" s="4">
        <v>44316</v>
      </c>
      <c r="D70" s="4"/>
      <c r="E70" s="4">
        <v>44354</v>
      </c>
      <c r="F70" s="40"/>
      <c r="G70" s="2"/>
      <c r="H70" s="5">
        <v>15.15</v>
      </c>
      <c r="I70" s="5">
        <f>36/30*37</f>
        <v>44.4</v>
      </c>
      <c r="J70" s="5"/>
      <c r="K70" s="5"/>
      <c r="L70" s="6">
        <v>110</v>
      </c>
      <c r="M70" s="61">
        <v>36</v>
      </c>
      <c r="N70" s="5">
        <f>(L70-M70)*0.7</f>
        <v>51.8</v>
      </c>
      <c r="O70" s="1" t="s">
        <v>145</v>
      </c>
    </row>
    <row r="71" spans="1:15">
      <c r="A71" s="22" t="s">
        <v>126</v>
      </c>
      <c r="B71" s="22"/>
      <c r="C71" s="4">
        <v>44336</v>
      </c>
      <c r="D71" s="4"/>
      <c r="E71" s="4">
        <v>44370</v>
      </c>
      <c r="F71" s="5" t="s">
        <v>161</v>
      </c>
      <c r="G71" s="49">
        <v>17.5</v>
      </c>
      <c r="H71" s="5">
        <v>35.78</v>
      </c>
      <c r="I71" s="5">
        <f>58/30*33</f>
        <v>63.8</v>
      </c>
      <c r="J71" s="5">
        <v>50</v>
      </c>
      <c r="K71" s="5"/>
      <c r="L71" s="6">
        <v>150</v>
      </c>
      <c r="M71" s="61">
        <v>58</v>
      </c>
      <c r="N71" s="6">
        <f>(17.5+74.5*0.7)</f>
        <v>69.650000000000006</v>
      </c>
    </row>
    <row r="72" spans="1:15">
      <c r="A72" s="44" t="s">
        <v>125</v>
      </c>
      <c r="B72" s="44"/>
      <c r="C72" s="4">
        <v>44342</v>
      </c>
      <c r="D72" s="4"/>
      <c r="E72" s="4">
        <v>44386</v>
      </c>
      <c r="F72" s="5" t="s">
        <v>160</v>
      </c>
      <c r="G72" s="49">
        <v>12.5</v>
      </c>
      <c r="H72" s="5">
        <v>15.46</v>
      </c>
      <c r="I72" s="5">
        <f>36/30*43</f>
        <v>51.6</v>
      </c>
      <c r="J72" s="5">
        <f>50+45</f>
        <v>95</v>
      </c>
      <c r="K72" s="5"/>
      <c r="L72" s="6">
        <v>80</v>
      </c>
      <c r="M72" s="61">
        <v>33</v>
      </c>
      <c r="N72" s="6">
        <f>12.5+(L72-M72-12.5)*0.7</f>
        <v>36.65</v>
      </c>
    </row>
    <row r="73" spans="1:15">
      <c r="A73" s="44" t="s">
        <v>129</v>
      </c>
      <c r="B73" s="44"/>
      <c r="C73" s="4">
        <v>44348</v>
      </c>
      <c r="D73" s="4"/>
      <c r="E73" s="4">
        <v>44389</v>
      </c>
      <c r="F73" s="5" t="s">
        <v>160</v>
      </c>
      <c r="G73" s="49">
        <v>12.5</v>
      </c>
      <c r="H73" s="5">
        <v>26.22</v>
      </c>
      <c r="I73" s="5">
        <f>71/30*42</f>
        <v>99.4</v>
      </c>
      <c r="J73" s="5">
        <f>50+45</f>
        <v>95</v>
      </c>
      <c r="K73" s="5"/>
      <c r="L73" s="6">
        <v>140</v>
      </c>
      <c r="M73" s="61">
        <v>71</v>
      </c>
      <c r="N73" s="6">
        <f>(12.5+(127.5-71)*0.7)</f>
        <v>52.05</v>
      </c>
    </row>
    <row r="74" spans="1:15">
      <c r="A74" s="44" t="s">
        <v>124</v>
      </c>
      <c r="B74" s="44"/>
      <c r="C74" s="4">
        <v>44348</v>
      </c>
      <c r="D74" s="4"/>
      <c r="E74" s="4">
        <v>44389</v>
      </c>
      <c r="F74" s="40"/>
      <c r="G74" s="2"/>
      <c r="H74" s="5">
        <v>11.62</v>
      </c>
      <c r="I74" s="5">
        <f>26/30*42</f>
        <v>36.4</v>
      </c>
      <c r="J74" s="5">
        <v>65</v>
      </c>
      <c r="K74" s="5"/>
      <c r="L74" s="6">
        <v>70</v>
      </c>
      <c r="M74" s="61">
        <v>26</v>
      </c>
      <c r="N74" s="6">
        <f>(70-26)*0.7</f>
        <v>30.799999999999997</v>
      </c>
    </row>
    <row r="75" spans="1:15">
      <c r="A75" s="44" t="s">
        <v>132</v>
      </c>
      <c r="B75" s="44"/>
      <c r="C75" s="4">
        <v>44407</v>
      </c>
      <c r="D75" s="4"/>
      <c r="E75" s="4">
        <v>44461</v>
      </c>
      <c r="F75" s="40"/>
      <c r="G75" s="2"/>
      <c r="H75" s="5">
        <v>9.8800000000000008</v>
      </c>
      <c r="I75" s="5">
        <f>25/30*52</f>
        <v>43.333333333333336</v>
      </c>
      <c r="J75" s="5"/>
      <c r="K75" s="5"/>
      <c r="L75" s="6">
        <v>70</v>
      </c>
      <c r="M75" s="61">
        <v>25</v>
      </c>
      <c r="N75" s="6">
        <f>45*0.7</f>
        <v>31.499999999999996</v>
      </c>
    </row>
    <row r="76" spans="1:15">
      <c r="A76" s="44" t="s">
        <v>133</v>
      </c>
      <c r="B76" s="44"/>
      <c r="C76" s="4">
        <v>44432</v>
      </c>
      <c r="D76" s="4"/>
      <c r="E76" s="4">
        <v>44467</v>
      </c>
      <c r="F76" s="40"/>
      <c r="G76" s="2"/>
      <c r="H76" s="5">
        <v>9.8800000000000008</v>
      </c>
      <c r="I76" s="5">
        <f>25/30*34</f>
        <v>28.333333333333336</v>
      </c>
      <c r="J76" s="5"/>
      <c r="K76" s="5"/>
      <c r="L76" s="6">
        <v>70</v>
      </c>
      <c r="M76" s="61">
        <v>25</v>
      </c>
      <c r="N76" s="6">
        <f>45*0.7</f>
        <v>31.499999999999996</v>
      </c>
    </row>
    <row r="77" spans="1:15">
      <c r="A77" s="52" t="s">
        <v>141</v>
      </c>
      <c r="B77" s="52"/>
      <c r="C77" s="57">
        <v>44459</v>
      </c>
      <c r="D77" s="57"/>
      <c r="E77" s="57">
        <v>44481</v>
      </c>
      <c r="F77" s="10" t="s">
        <v>161</v>
      </c>
      <c r="G77" s="12">
        <v>10</v>
      </c>
      <c r="H77" s="25">
        <v>15.15</v>
      </c>
      <c r="I77" s="25">
        <f>46/30*22</f>
        <v>33.733333333333334</v>
      </c>
      <c r="J77" s="25">
        <v>80</v>
      </c>
      <c r="K77" s="25"/>
      <c r="L77" s="27">
        <v>120</v>
      </c>
      <c r="M77" s="64">
        <v>46</v>
      </c>
      <c r="N77" s="27">
        <f>10+(120-56)*0.7</f>
        <v>54.8</v>
      </c>
    </row>
    <row r="78" spans="1:15">
      <c r="A78" s="52" t="s">
        <v>140</v>
      </c>
      <c r="B78" s="52"/>
      <c r="C78" s="57">
        <v>44449</v>
      </c>
      <c r="D78" s="57"/>
      <c r="E78" s="57">
        <v>44482</v>
      </c>
      <c r="F78" s="25" t="s">
        <v>160</v>
      </c>
      <c r="G78" s="58">
        <v>10</v>
      </c>
      <c r="H78" s="25">
        <v>13.4</v>
      </c>
      <c r="I78" s="25">
        <f>60/30*33</f>
        <v>66</v>
      </c>
      <c r="J78" s="25">
        <v>80</v>
      </c>
      <c r="K78" s="25"/>
      <c r="L78" s="27">
        <v>120</v>
      </c>
      <c r="M78" s="64">
        <v>61</v>
      </c>
      <c r="N78" s="27">
        <f>(10+49*0.7)</f>
        <v>44.3</v>
      </c>
    </row>
    <row r="79" spans="1:15">
      <c r="A79" s="44" t="s">
        <v>137</v>
      </c>
      <c r="B79" s="44"/>
      <c r="C79" s="35">
        <v>44474</v>
      </c>
      <c r="D79" s="35"/>
      <c r="E79" s="35">
        <v>44487</v>
      </c>
      <c r="F79" s="10" t="s">
        <v>161</v>
      </c>
      <c r="G79" s="12">
        <v>12.5</v>
      </c>
      <c r="H79" s="5">
        <v>15.15</v>
      </c>
      <c r="I79" s="5">
        <f>71/30*13</f>
        <v>30.766666666666666</v>
      </c>
      <c r="J79" s="5">
        <v>95</v>
      </c>
      <c r="K79" s="5"/>
      <c r="L79" s="6">
        <v>140</v>
      </c>
      <c r="M79" s="61">
        <v>71</v>
      </c>
      <c r="N79" s="6">
        <f>12.5+(56.5)*0.7</f>
        <v>52.05</v>
      </c>
    </row>
    <row r="80" spans="1:15">
      <c r="A80" s="44" t="s">
        <v>143</v>
      </c>
      <c r="B80" s="44"/>
      <c r="C80" s="35">
        <v>43717</v>
      </c>
      <c r="D80" s="35"/>
      <c r="E80" s="35">
        <v>44505</v>
      </c>
      <c r="F80" s="40"/>
      <c r="G80" s="49"/>
      <c r="H80" s="5">
        <v>13.4</v>
      </c>
      <c r="I80" s="5">
        <f>36*25+36/30*26</f>
        <v>931.2</v>
      </c>
      <c r="J80" s="5"/>
      <c r="K80" s="5"/>
      <c r="L80" s="6">
        <v>100</v>
      </c>
      <c r="M80" s="61">
        <v>36</v>
      </c>
      <c r="N80" s="6">
        <f>(100-36)*0.7</f>
        <v>44.8</v>
      </c>
    </row>
    <row r="81" spans="1:14">
      <c r="A81" s="44" t="s">
        <v>139</v>
      </c>
      <c r="B81" s="44"/>
      <c r="C81" s="35">
        <v>44492</v>
      </c>
      <c r="D81" s="35"/>
      <c r="E81" s="35">
        <v>44539</v>
      </c>
      <c r="F81" s="40"/>
      <c r="G81" s="49"/>
      <c r="H81" s="5">
        <v>16.350000000000001</v>
      </c>
      <c r="I81" s="5">
        <f>71/30*46</f>
        <v>108.86666666666667</v>
      </c>
      <c r="J81" s="5">
        <v>95</v>
      </c>
      <c r="K81" s="5"/>
      <c r="L81" s="6">
        <v>140</v>
      </c>
      <c r="M81" s="61">
        <v>71</v>
      </c>
      <c r="N81" s="6">
        <f>(140-71)*0.7/30*21</f>
        <v>33.809999999999995</v>
      </c>
    </row>
    <row r="82" spans="1:14">
      <c r="A82" s="44" t="s">
        <v>144</v>
      </c>
      <c r="B82" s="44"/>
      <c r="C82" s="35">
        <v>44526</v>
      </c>
      <c r="D82" s="35"/>
      <c r="E82" s="35">
        <v>44550</v>
      </c>
      <c r="F82" s="5" t="s">
        <v>160</v>
      </c>
      <c r="G82" s="49">
        <v>12.5</v>
      </c>
      <c r="H82" s="5">
        <v>13.4</v>
      </c>
      <c r="I82" s="5">
        <f>83/30*24</f>
        <v>66.400000000000006</v>
      </c>
      <c r="J82" s="5"/>
      <c r="K82" s="5"/>
      <c r="L82" s="6">
        <v>160</v>
      </c>
      <c r="M82" s="61">
        <v>94</v>
      </c>
      <c r="N82" s="6">
        <f>15+(160-15-94)*0.7/30*10</f>
        <v>26.9</v>
      </c>
    </row>
    <row r="83" spans="1:14">
      <c r="A83" s="44" t="s">
        <v>149</v>
      </c>
      <c r="B83" s="44"/>
      <c r="C83" s="35">
        <v>44880</v>
      </c>
      <c r="D83" s="35"/>
      <c r="E83" s="35">
        <v>44575</v>
      </c>
      <c r="F83" s="40"/>
      <c r="G83" s="49"/>
      <c r="H83" s="5">
        <v>13.4</v>
      </c>
      <c r="I83" s="5"/>
      <c r="J83" s="5">
        <v>50</v>
      </c>
      <c r="K83" s="5"/>
      <c r="L83" s="6">
        <v>140</v>
      </c>
      <c r="M83" s="61">
        <f>71</f>
        <v>71</v>
      </c>
      <c r="N83" s="6">
        <f>(140-71)*0.7</f>
        <v>48.3</v>
      </c>
    </row>
    <row r="84" spans="1:14">
      <c r="A84" s="44" t="s">
        <v>146</v>
      </c>
      <c r="B84" s="44"/>
      <c r="C84" s="4">
        <v>44586</v>
      </c>
      <c r="D84" s="4"/>
      <c r="E84" s="4">
        <v>44615</v>
      </c>
      <c r="F84" s="10" t="s">
        <v>161</v>
      </c>
      <c r="G84" s="12">
        <v>12.5</v>
      </c>
      <c r="H84" s="5">
        <v>15.46</v>
      </c>
      <c r="I84" s="5">
        <f>27/30*28</f>
        <v>25.2</v>
      </c>
      <c r="J84" s="5">
        <v>110</v>
      </c>
      <c r="K84" s="5"/>
      <c r="L84" s="6">
        <v>124</v>
      </c>
      <c r="M84" s="61">
        <v>51</v>
      </c>
      <c r="N84" s="6">
        <f>12.5+(124-63.5)*0.7</f>
        <v>54.849999999999994</v>
      </c>
    </row>
    <row r="85" spans="1:14">
      <c r="A85" s="44" t="s">
        <v>148</v>
      </c>
      <c r="B85" s="44"/>
      <c r="C85" s="4">
        <v>44579</v>
      </c>
      <c r="D85" s="4"/>
      <c r="E85" s="4">
        <v>44594</v>
      </c>
      <c r="F85" s="40"/>
      <c r="G85" s="49"/>
      <c r="H85" s="5">
        <v>13.4</v>
      </c>
      <c r="I85" s="5">
        <f>22/30*14</f>
        <v>10.266666666666666</v>
      </c>
      <c r="J85" s="5">
        <v>30</v>
      </c>
      <c r="K85" s="5"/>
      <c r="L85" s="6">
        <v>50</v>
      </c>
      <c r="M85" s="61">
        <v>22</v>
      </c>
      <c r="N85" s="6">
        <f>(50-22)*0.7</f>
        <v>19.599999999999998</v>
      </c>
    </row>
    <row r="86" spans="1:14">
      <c r="A86" s="44" t="s">
        <v>150</v>
      </c>
      <c r="B86" s="44"/>
      <c r="C86" s="4">
        <v>44899</v>
      </c>
      <c r="D86" s="4"/>
      <c r="E86" s="4">
        <v>44607</v>
      </c>
      <c r="F86" s="12" t="s">
        <v>160</v>
      </c>
      <c r="G86" s="12">
        <v>12.5</v>
      </c>
      <c r="H86" s="5">
        <v>13.4</v>
      </c>
      <c r="I86" s="5">
        <f>71/30*61</f>
        <v>144.36666666666667</v>
      </c>
      <c r="J86" s="5">
        <v>80</v>
      </c>
      <c r="K86" s="5"/>
      <c r="L86" s="6">
        <v>120</v>
      </c>
      <c r="M86" s="61">
        <v>60</v>
      </c>
      <c r="N86" s="6">
        <f>12.5+(120-72.5)*0.7</f>
        <v>45.75</v>
      </c>
    </row>
    <row r="87" spans="1:14">
      <c r="A87" s="44" t="s">
        <v>151</v>
      </c>
      <c r="B87" s="44"/>
      <c r="C87" s="4">
        <v>44926</v>
      </c>
      <c r="D87" s="4"/>
      <c r="E87" s="4">
        <v>44649</v>
      </c>
      <c r="F87" s="40"/>
      <c r="G87" s="40"/>
      <c r="H87" s="5">
        <v>9.0299999999999994</v>
      </c>
      <c r="I87" s="5">
        <f>25*2+25/30*29</f>
        <v>74.166666666666671</v>
      </c>
      <c r="J87" s="5">
        <v>80</v>
      </c>
      <c r="K87" s="5"/>
      <c r="L87" s="6">
        <v>67.5</v>
      </c>
      <c r="M87" s="61">
        <v>25</v>
      </c>
      <c r="N87" s="6">
        <f>(67.5-25)*0.7</f>
        <v>29.749999999999996</v>
      </c>
    </row>
    <row r="88" spans="1:14">
      <c r="A88" s="44" t="s">
        <v>152</v>
      </c>
      <c r="B88" s="44"/>
      <c r="C88" s="4">
        <v>44852</v>
      </c>
      <c r="D88" s="4"/>
      <c r="E88" s="4">
        <v>44649</v>
      </c>
      <c r="F88" s="40"/>
      <c r="G88" s="40"/>
      <c r="H88" s="5">
        <v>9.0299999999999994</v>
      </c>
      <c r="I88" s="5">
        <f>45*4+45/30*13</f>
        <v>199.5</v>
      </c>
      <c r="J88" s="5">
        <v>80</v>
      </c>
      <c r="K88" s="5"/>
      <c r="L88" s="6">
        <v>67.5</v>
      </c>
      <c r="M88" s="61">
        <v>45</v>
      </c>
      <c r="N88" s="6">
        <f>(L88-M88)*0.7</f>
        <v>15.749999999999998</v>
      </c>
    </row>
    <row r="89" spans="1:14">
      <c r="A89" s="44" t="s">
        <v>153</v>
      </c>
      <c r="B89" s="44"/>
      <c r="C89" s="4">
        <v>44623</v>
      </c>
      <c r="D89" s="4"/>
      <c r="E89" s="4">
        <v>44623</v>
      </c>
      <c r="F89" s="40"/>
      <c r="G89" s="40"/>
      <c r="H89" s="5">
        <v>11.03</v>
      </c>
      <c r="I89" s="5">
        <v>0</v>
      </c>
      <c r="J89" s="5">
        <v>15</v>
      </c>
      <c r="K89" s="5"/>
      <c r="L89" s="6">
        <v>30</v>
      </c>
      <c r="M89" s="61">
        <v>12</v>
      </c>
      <c r="N89" s="6">
        <f>(L89-M89)*0.7</f>
        <v>12.6</v>
      </c>
    </row>
    <row r="90" spans="1:14">
      <c r="A90" s="44" t="s">
        <v>154</v>
      </c>
      <c r="B90" s="44"/>
      <c r="C90" s="4">
        <v>44881</v>
      </c>
      <c r="D90" s="4"/>
      <c r="E90" s="4">
        <v>44628</v>
      </c>
      <c r="F90" s="40"/>
      <c r="G90" s="40"/>
      <c r="H90" s="5">
        <v>9.0299999999999994</v>
      </c>
      <c r="I90" s="5">
        <f>65*3+65/30*22</f>
        <v>242.66666666666666</v>
      </c>
      <c r="J90" s="5">
        <v>95</v>
      </c>
      <c r="K90" s="5"/>
      <c r="L90" s="6">
        <v>112</v>
      </c>
      <c r="M90" s="61">
        <v>65</v>
      </c>
      <c r="N90" s="6">
        <f>(L90-M90)*0.7</f>
        <v>32.9</v>
      </c>
    </row>
    <row r="91" spans="1:14">
      <c r="A91" s="44" t="s">
        <v>155</v>
      </c>
      <c r="B91" s="44"/>
      <c r="C91" s="4">
        <v>44490</v>
      </c>
      <c r="D91" s="4"/>
      <c r="E91" s="4">
        <v>44648</v>
      </c>
      <c r="F91" s="40"/>
      <c r="G91" s="40"/>
      <c r="H91" s="5">
        <v>13.4</v>
      </c>
      <c r="I91" s="5">
        <f>45*5+45/30*7</f>
        <v>235.5</v>
      </c>
      <c r="J91" s="5">
        <v>80</v>
      </c>
      <c r="K91" s="5"/>
      <c r="L91" s="6">
        <v>67.5</v>
      </c>
      <c r="M91" s="61">
        <v>45</v>
      </c>
      <c r="N91" s="6">
        <f>(L91-M91)*0.7</f>
        <v>15.749999999999998</v>
      </c>
    </row>
    <row r="92" spans="1:14">
      <c r="A92" s="44" t="s">
        <v>156</v>
      </c>
      <c r="B92" s="44"/>
      <c r="C92" s="4">
        <v>44489</v>
      </c>
      <c r="D92" s="4"/>
      <c r="E92" s="4">
        <v>44651</v>
      </c>
      <c r="F92" s="40"/>
      <c r="G92" s="40"/>
      <c r="H92" s="5">
        <v>15.46</v>
      </c>
      <c r="I92" s="5">
        <f>50*5+50/10</f>
        <v>255</v>
      </c>
      <c r="J92" s="5">
        <v>145</v>
      </c>
      <c r="K92" s="5"/>
      <c r="L92" s="6">
        <v>125</v>
      </c>
      <c r="M92" s="61">
        <v>50</v>
      </c>
      <c r="N92" s="6">
        <f>(L92-M92)*0.7</f>
        <v>52.5</v>
      </c>
    </row>
    <row r="93" spans="1:14">
      <c r="A93" s="44" t="s">
        <v>157</v>
      </c>
      <c r="B93" s="44"/>
      <c r="C93" s="4">
        <v>44627</v>
      </c>
      <c r="D93" s="4"/>
      <c r="E93" s="4">
        <v>44627</v>
      </c>
      <c r="F93" s="10" t="s">
        <v>161</v>
      </c>
      <c r="G93" s="12">
        <v>10</v>
      </c>
      <c r="H93" s="5">
        <v>15.46</v>
      </c>
      <c r="I93" s="5">
        <v>0</v>
      </c>
      <c r="J93" s="5">
        <v>0</v>
      </c>
      <c r="K93" s="5"/>
      <c r="L93" s="6">
        <v>100</v>
      </c>
      <c r="M93" s="61">
        <v>44</v>
      </c>
      <c r="N93" s="6">
        <f>10+(46)*0.7</f>
        <v>42.199999999999996</v>
      </c>
    </row>
    <row r="94" spans="1:14">
      <c r="A94" s="44" t="s">
        <v>158</v>
      </c>
      <c r="B94" s="44"/>
      <c r="C94" s="4">
        <v>44627</v>
      </c>
      <c r="D94" s="4"/>
      <c r="E94" s="4">
        <v>44627</v>
      </c>
      <c r="F94" s="10" t="s">
        <v>161</v>
      </c>
      <c r="G94" s="12">
        <v>12.5</v>
      </c>
      <c r="H94" s="5">
        <v>15.46</v>
      </c>
      <c r="I94" s="5">
        <v>0</v>
      </c>
      <c r="J94" s="5">
        <v>0</v>
      </c>
      <c r="K94" s="5"/>
      <c r="L94" s="6">
        <v>125</v>
      </c>
      <c r="M94" s="61">
        <v>55</v>
      </c>
      <c r="N94" s="6">
        <f>12.5+(57.5)*0.7</f>
        <v>52.75</v>
      </c>
    </row>
    <row r="95" spans="1:14">
      <c r="A95" s="44" t="s">
        <v>168</v>
      </c>
      <c r="B95" s="44"/>
      <c r="C95" s="4">
        <v>44636</v>
      </c>
      <c r="D95" s="4"/>
      <c r="E95" s="4">
        <v>44659</v>
      </c>
      <c r="F95" s="40"/>
      <c r="G95" s="5"/>
      <c r="H95" s="5">
        <v>13.72</v>
      </c>
      <c r="I95" s="5">
        <f>55/30*24</f>
        <v>44</v>
      </c>
      <c r="J95" s="5">
        <v>80</v>
      </c>
      <c r="K95" s="5"/>
      <c r="L95" s="6">
        <v>120</v>
      </c>
      <c r="M95" s="61">
        <v>55</v>
      </c>
      <c r="N95" s="6">
        <f>10+(110-M95)*0.7</f>
        <v>48.5</v>
      </c>
    </row>
    <row r="96" spans="1:14">
      <c r="A96" s="44" t="s">
        <v>171</v>
      </c>
      <c r="B96" s="44"/>
      <c r="C96" s="4">
        <v>44648</v>
      </c>
      <c r="D96" s="4"/>
      <c r="E96" s="4">
        <v>44734</v>
      </c>
      <c r="F96" s="40"/>
      <c r="G96" s="5"/>
      <c r="H96" s="5">
        <v>13.72</v>
      </c>
      <c r="I96" s="5">
        <f>56/30*84</f>
        <v>156.80000000000001</v>
      </c>
      <c r="J96" s="5">
        <v>95</v>
      </c>
      <c r="K96" s="5"/>
      <c r="L96" s="6">
        <v>140</v>
      </c>
      <c r="M96" s="61">
        <v>56</v>
      </c>
      <c r="N96" s="6">
        <f>(140-56)*0.7</f>
        <v>58.8</v>
      </c>
    </row>
    <row r="97" spans="1:14">
      <c r="A97" s="44" t="s">
        <v>172</v>
      </c>
      <c r="B97" s="44"/>
      <c r="C97" s="4">
        <v>44705</v>
      </c>
      <c r="D97" s="4"/>
      <c r="E97" s="4">
        <v>44715</v>
      </c>
      <c r="F97" s="40"/>
      <c r="G97" s="5"/>
      <c r="H97" s="5">
        <v>10.039999999999999</v>
      </c>
      <c r="I97" s="5">
        <f>25/30*9</f>
        <v>7.5</v>
      </c>
      <c r="J97" s="5"/>
      <c r="K97" s="5"/>
      <c r="L97" s="6">
        <v>50</v>
      </c>
      <c r="M97" s="61">
        <v>25</v>
      </c>
      <c r="N97" s="6">
        <f>(50-25)*0.7</f>
        <v>17.5</v>
      </c>
    </row>
    <row r="98" spans="1:14">
      <c r="A98" s="44" t="s">
        <v>173</v>
      </c>
      <c r="B98" s="44"/>
      <c r="C98" s="4">
        <v>44704</v>
      </c>
      <c r="D98" s="4"/>
      <c r="E98" s="4">
        <v>44721</v>
      </c>
      <c r="F98" s="10" t="s">
        <v>161</v>
      </c>
      <c r="G98" s="56">
        <v>12.5</v>
      </c>
      <c r="H98" s="5">
        <v>13.72</v>
      </c>
      <c r="I98" s="5">
        <f>37/30*16</f>
        <v>19.733333333333334</v>
      </c>
      <c r="J98" s="5">
        <f>50+45</f>
        <v>95</v>
      </c>
      <c r="K98" s="5"/>
      <c r="L98" s="6">
        <v>110</v>
      </c>
      <c r="M98" s="61">
        <v>37</v>
      </c>
      <c r="N98" s="56">
        <f>12.5+(97.5-37)*0.7</f>
        <v>54.849999999999994</v>
      </c>
    </row>
    <row r="99" spans="1:14">
      <c r="A99" s="44" t="s">
        <v>174</v>
      </c>
      <c r="B99" s="44"/>
      <c r="C99" s="4">
        <v>44715</v>
      </c>
      <c r="D99" s="4"/>
      <c r="E99" s="4">
        <v>44820</v>
      </c>
      <c r="F99" s="10" t="s">
        <v>161</v>
      </c>
      <c r="G99" s="56">
        <v>15</v>
      </c>
      <c r="H99" s="5">
        <v>14.6</v>
      </c>
      <c r="I99" s="5">
        <f>56/30*103</f>
        <v>192.26666666666668</v>
      </c>
      <c r="J99" s="5">
        <v>50</v>
      </c>
      <c r="K99" s="5"/>
      <c r="L99" s="6">
        <f>130</f>
        <v>130</v>
      </c>
      <c r="M99" s="61">
        <v>56</v>
      </c>
      <c r="N99" s="56">
        <f>15+(115-56)*0.7</f>
        <v>56.3</v>
      </c>
    </row>
    <row r="100" spans="1:14">
      <c r="A100" s="44" t="s">
        <v>183</v>
      </c>
      <c r="B100" s="44"/>
      <c r="C100" s="4">
        <v>44749</v>
      </c>
      <c r="D100" s="4">
        <v>44830</v>
      </c>
      <c r="E100" s="4">
        <v>44858</v>
      </c>
      <c r="F100" s="40"/>
      <c r="G100" s="5"/>
      <c r="H100" s="5">
        <v>11.03</v>
      </c>
      <c r="I100" s="5">
        <v>25</v>
      </c>
      <c r="J100" s="5">
        <v>15</v>
      </c>
      <c r="K100" s="5"/>
      <c r="L100" s="6">
        <v>80</v>
      </c>
      <c r="M100" s="61">
        <v>25</v>
      </c>
      <c r="N100" s="6">
        <f>55*0.7</f>
        <v>38.5</v>
      </c>
    </row>
    <row r="101" spans="1:14">
      <c r="A101" s="44" t="s">
        <v>184</v>
      </c>
      <c r="B101" s="44"/>
      <c r="C101" s="4">
        <v>44775</v>
      </c>
      <c r="D101" s="4">
        <v>44810</v>
      </c>
      <c r="E101" s="4">
        <v>44848</v>
      </c>
      <c r="F101" s="40"/>
      <c r="G101" s="5"/>
      <c r="H101" s="5">
        <v>23.38</v>
      </c>
      <c r="I101" s="5">
        <f>100/30*38</f>
        <v>126.66666666666667</v>
      </c>
      <c r="J101" s="5">
        <v>155</v>
      </c>
      <c r="K101" s="5"/>
      <c r="L101" s="6">
        <v>220</v>
      </c>
      <c r="M101" s="61">
        <v>100</v>
      </c>
      <c r="N101" s="6">
        <f>(L101-M101)*0.7</f>
        <v>84</v>
      </c>
    </row>
    <row r="102" spans="1:14">
      <c r="A102" s="44" t="s">
        <v>185</v>
      </c>
      <c r="B102" s="44"/>
      <c r="C102" s="4">
        <v>44830</v>
      </c>
      <c r="D102" s="4">
        <v>44852</v>
      </c>
      <c r="E102" s="4">
        <v>44858</v>
      </c>
      <c r="F102" s="10" t="s">
        <v>161</v>
      </c>
      <c r="G102" s="12">
        <v>12.5</v>
      </c>
      <c r="H102" s="5">
        <v>23.38</v>
      </c>
      <c r="I102" s="5">
        <f>54.5/30*6</f>
        <v>10.9</v>
      </c>
      <c r="J102" s="5">
        <v>95</v>
      </c>
      <c r="K102" s="5"/>
      <c r="L102" s="6">
        <v>140</v>
      </c>
      <c r="M102" s="61">
        <v>55.5</v>
      </c>
      <c r="N102" s="6">
        <f>12.5+(127.5-55.5)*0.7</f>
        <v>62.9</v>
      </c>
    </row>
    <row r="103" spans="1:14">
      <c r="A103" s="44" t="s">
        <v>190</v>
      </c>
      <c r="B103" s="44"/>
      <c r="C103" s="4"/>
      <c r="D103" s="4">
        <v>44879</v>
      </c>
      <c r="E103" s="35">
        <v>44887</v>
      </c>
      <c r="F103" s="44" t="s">
        <v>161</v>
      </c>
      <c r="G103" s="56">
        <v>10</v>
      </c>
      <c r="H103" s="5">
        <v>14.6</v>
      </c>
      <c r="I103" s="5">
        <f>34/30*8</f>
        <v>9.0666666666666664</v>
      </c>
      <c r="J103" s="5">
        <v>45</v>
      </c>
      <c r="K103" s="5"/>
      <c r="L103" s="6">
        <v>90</v>
      </c>
      <c r="M103" s="61">
        <v>34</v>
      </c>
      <c r="N103" s="56">
        <f>10+(80-34)*0.7</f>
        <v>42.199999999999996</v>
      </c>
    </row>
    <row r="104" spans="1:14">
      <c r="A104" s="44" t="s">
        <v>193</v>
      </c>
      <c r="B104" s="44"/>
      <c r="C104" s="4">
        <v>44872</v>
      </c>
      <c r="D104" s="4">
        <v>44879</v>
      </c>
      <c r="E104" s="35">
        <v>44882</v>
      </c>
      <c r="F104" s="40"/>
      <c r="G104" s="5"/>
      <c r="H104" s="5">
        <v>10.039999999999999</v>
      </c>
      <c r="I104" s="5">
        <f>25/30*3</f>
        <v>2.5</v>
      </c>
      <c r="J104" s="5"/>
      <c r="K104" s="5"/>
      <c r="L104" s="6">
        <v>40</v>
      </c>
      <c r="M104" s="61">
        <v>25</v>
      </c>
      <c r="N104" s="6">
        <f>(L104-M104)*0.7</f>
        <v>10.5</v>
      </c>
    </row>
    <row r="105" spans="1:14">
      <c r="A105" s="44" t="s">
        <v>213</v>
      </c>
      <c r="B105" s="44"/>
      <c r="C105" s="4">
        <v>44894</v>
      </c>
      <c r="D105" s="4">
        <v>44908</v>
      </c>
      <c r="E105" s="35">
        <v>44944</v>
      </c>
      <c r="F105" s="40" t="s">
        <v>161</v>
      </c>
      <c r="G105" s="5">
        <v>15</v>
      </c>
      <c r="H105" s="5">
        <v>31.72</v>
      </c>
      <c r="I105" s="5">
        <f>50/30*35</f>
        <v>58.333333333333336</v>
      </c>
      <c r="J105" s="5">
        <f>60+50</f>
        <v>110</v>
      </c>
      <c r="K105" s="5"/>
      <c r="L105" s="6">
        <v>130</v>
      </c>
      <c r="M105" s="61">
        <f>19+2+3.5*2+11*2</f>
        <v>50</v>
      </c>
      <c r="N105" s="94">
        <f>15+(L105-M105-15)*0.7</f>
        <v>60.5</v>
      </c>
    </row>
    <row r="106" spans="1:14">
      <c r="A106" s="44" t="s">
        <v>227</v>
      </c>
      <c r="B106" s="44"/>
      <c r="C106" s="4">
        <v>44949</v>
      </c>
      <c r="D106" s="4">
        <v>44953</v>
      </c>
      <c r="E106" s="35">
        <v>44966</v>
      </c>
      <c r="F106" s="40" t="s">
        <v>160</v>
      </c>
      <c r="G106" s="5">
        <v>15</v>
      </c>
      <c r="H106" s="5">
        <v>16.38</v>
      </c>
      <c r="I106" s="5">
        <f>61.5/30*12</f>
        <v>24.599999999999998</v>
      </c>
      <c r="J106" s="5">
        <f>50+60</f>
        <v>110</v>
      </c>
      <c r="K106" s="5"/>
      <c r="L106" s="6">
        <v>160</v>
      </c>
      <c r="M106" s="65">
        <f>32.5+7+22</f>
        <v>61.5</v>
      </c>
      <c r="N106" s="59">
        <f>15+(L106-M106-15)*0.7</f>
        <v>73.449999999999989</v>
      </c>
    </row>
    <row r="107" spans="1:14">
      <c r="A107" s="44" t="s">
        <v>228</v>
      </c>
      <c r="B107" s="44"/>
      <c r="C107" s="4">
        <v>44957</v>
      </c>
      <c r="D107" s="4">
        <v>44957</v>
      </c>
      <c r="E107" s="35">
        <v>44977</v>
      </c>
      <c r="F107" s="40"/>
      <c r="G107" s="5"/>
      <c r="H107" s="5">
        <v>20.61</v>
      </c>
      <c r="I107" s="5">
        <f>66/30*20</f>
        <v>44</v>
      </c>
      <c r="J107" s="5">
        <v>90</v>
      </c>
      <c r="K107" s="5"/>
      <c r="L107" s="6">
        <v>155</v>
      </c>
      <c r="M107" s="65">
        <v>54</v>
      </c>
      <c r="N107" s="59">
        <f>(L107-M107)*0.7</f>
        <v>70.699999999999989</v>
      </c>
    </row>
    <row r="108" spans="1:14">
      <c r="A108" s="44" t="s">
        <v>255</v>
      </c>
      <c r="B108" s="44"/>
      <c r="C108" s="35">
        <v>44691</v>
      </c>
      <c r="D108" s="35">
        <v>44994</v>
      </c>
      <c r="E108" s="4">
        <v>44994</v>
      </c>
      <c r="F108" s="40"/>
      <c r="G108" s="40"/>
      <c r="H108" s="5">
        <v>11.03</v>
      </c>
      <c r="I108" s="40">
        <f>25*14</f>
        <v>350</v>
      </c>
      <c r="J108" s="40">
        <f>30+50</f>
        <v>80</v>
      </c>
      <c r="K108" s="40"/>
      <c r="L108" s="6">
        <v>90</v>
      </c>
      <c r="M108" s="6">
        <v>25</v>
      </c>
      <c r="N108" s="59">
        <f>(L108-M108)*0.7</f>
        <v>45.5</v>
      </c>
    </row>
    <row r="109" spans="1:14">
      <c r="A109" s="44" t="s">
        <v>187</v>
      </c>
      <c r="B109" s="44"/>
      <c r="C109" s="35"/>
      <c r="D109" s="35">
        <v>44991</v>
      </c>
      <c r="E109" s="4">
        <v>44991</v>
      </c>
      <c r="F109" s="40"/>
      <c r="G109" s="40"/>
      <c r="H109" s="5">
        <v>13.31</v>
      </c>
      <c r="I109" s="40"/>
      <c r="J109" s="40">
        <v>45</v>
      </c>
      <c r="K109" s="40"/>
      <c r="L109" s="6">
        <v>80</v>
      </c>
      <c r="M109" s="6">
        <v>27</v>
      </c>
      <c r="N109" s="59">
        <f>(L109-M109)*0.7</f>
        <v>37.099999999999994</v>
      </c>
    </row>
    <row r="110" spans="1:14">
      <c r="A110" s="72" t="s">
        <v>276</v>
      </c>
      <c r="B110" s="44"/>
      <c r="C110" s="35">
        <v>45061</v>
      </c>
      <c r="D110" s="35">
        <v>45070</v>
      </c>
      <c r="E110" s="4"/>
      <c r="F110" s="40"/>
      <c r="G110" s="40"/>
      <c r="H110" s="5">
        <v>11.48</v>
      </c>
      <c r="I110" s="40">
        <f>21/30*9</f>
        <v>6.3</v>
      </c>
      <c r="J110" s="40"/>
      <c r="K110" s="40"/>
      <c r="L110" s="17">
        <f>50</f>
        <v>50</v>
      </c>
      <c r="M110" s="18">
        <v>21</v>
      </c>
      <c r="N110" s="59">
        <f>(L110-M110)*0.7/30*6</f>
        <v>4.0599999999999987</v>
      </c>
    </row>
    <row r="111" spans="1:14">
      <c r="A111" s="72" t="s">
        <v>279</v>
      </c>
      <c r="B111" s="44"/>
      <c r="C111" s="35">
        <v>45065</v>
      </c>
      <c r="D111" s="35">
        <v>45070</v>
      </c>
      <c r="E111" s="4"/>
      <c r="F111" s="40"/>
      <c r="G111" s="40"/>
      <c r="H111" s="5">
        <v>11.48</v>
      </c>
      <c r="I111" s="40">
        <f>21/30*5</f>
        <v>3.5</v>
      </c>
      <c r="J111" s="40"/>
      <c r="K111" s="40"/>
      <c r="L111" s="17">
        <f>50</f>
        <v>50</v>
      </c>
      <c r="M111" s="18">
        <v>21</v>
      </c>
      <c r="N111" s="59">
        <f t="shared" ref="N111:N112" si="2">(L111-M111)*0.7/30*6</f>
        <v>4.0599999999999987</v>
      </c>
    </row>
    <row r="112" spans="1:14">
      <c r="A112" s="72" t="s">
        <v>278</v>
      </c>
      <c r="B112" s="44"/>
      <c r="C112" s="35">
        <v>44973</v>
      </c>
      <c r="D112" s="35">
        <v>45070</v>
      </c>
      <c r="E112" s="4"/>
      <c r="F112" s="40"/>
      <c r="G112" s="40"/>
      <c r="H112" s="5">
        <v>11.48</v>
      </c>
      <c r="I112" s="40">
        <f>21/30*98</f>
        <v>68.599999999999994</v>
      </c>
      <c r="J112" s="40"/>
      <c r="K112" s="40"/>
      <c r="L112" s="17">
        <v>50</v>
      </c>
      <c r="M112" s="18">
        <v>21</v>
      </c>
      <c r="N112" s="59">
        <f t="shared" si="2"/>
        <v>4.0599999999999987</v>
      </c>
    </row>
    <row r="113" spans="1:14">
      <c r="C113" s="36"/>
      <c r="D113" s="36"/>
      <c r="F113" s="28"/>
      <c r="G113" s="28"/>
      <c r="H113" s="30"/>
      <c r="I113" s="28"/>
      <c r="M113" s="68" t="s">
        <v>4</v>
      </c>
      <c r="N113" s="18">
        <f>SUM(N2:N112)</f>
        <v>4153.2900000000018</v>
      </c>
    </row>
    <row r="114" spans="1:14">
      <c r="C114" s="36"/>
      <c r="D114" s="36"/>
      <c r="F114" s="28"/>
      <c r="G114" s="28"/>
      <c r="H114" s="30"/>
      <c r="I114" s="28"/>
      <c r="M114" s="66" t="s">
        <v>251</v>
      </c>
      <c r="N114" s="1">
        <f>N113-112.84</f>
        <v>4040.4500000000016</v>
      </c>
    </row>
    <row r="115" spans="1:14">
      <c r="C115" s="36"/>
      <c r="D115" s="36"/>
      <c r="F115" s="28"/>
      <c r="G115" s="28"/>
      <c r="H115" s="30"/>
      <c r="I115" s="28"/>
    </row>
    <row r="117" spans="1:14">
      <c r="A117" s="28"/>
      <c r="B117" s="28"/>
      <c r="E117" s="15"/>
      <c r="F117" s="1"/>
      <c r="G117" s="1"/>
      <c r="H117" s="1"/>
      <c r="I117" s="1"/>
      <c r="J117" s="1"/>
      <c r="K117" s="1"/>
      <c r="L117" s="1"/>
      <c r="M117" s="67"/>
      <c r="N117" s="29"/>
    </row>
    <row r="119" spans="1:14">
      <c r="H119" s="30"/>
    </row>
    <row r="120" spans="1:14">
      <c r="I120" s="42"/>
    </row>
  </sheetData>
  <autoFilter ref="A1:P116">
    <sortState ref="A2:P107">
      <sortCondition ref="B1:B107"/>
    </sortState>
  </autoFilter>
  <pageMargins left="0.7" right="0.7" top="0.75" bottom="0.75" header="0.3" footer="0.3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>
  <dimension ref="A1:P122"/>
  <sheetViews>
    <sheetView topLeftCell="D43" workbookViewId="0">
      <selection activeCell="N82" sqref="N82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3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5"/>
      <c r="J2" s="5"/>
      <c r="K2" s="5">
        <f>F2+H2+J2</f>
        <v>10</v>
      </c>
      <c r="L2" s="6">
        <v>40</v>
      </c>
      <c r="M2" s="61">
        <v>25</v>
      </c>
      <c r="N2" s="6">
        <f t="shared" ref="N2:N35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5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5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9" t="s">
        <v>18</v>
      </c>
      <c r="B5" s="9"/>
      <c r="C5" s="2"/>
      <c r="D5" s="2"/>
      <c r="E5" s="4">
        <v>42335</v>
      </c>
      <c r="F5" s="5"/>
      <c r="G5" s="49"/>
      <c r="H5" s="5"/>
      <c r="I5" s="5"/>
      <c r="J5" s="5"/>
      <c r="K5" s="5"/>
      <c r="L5" s="6">
        <v>90</v>
      </c>
      <c r="M5" s="61">
        <v>25</v>
      </c>
      <c r="N5" s="6">
        <f t="shared" si="0"/>
        <v>45.5</v>
      </c>
    </row>
    <row r="6" spans="1:15">
      <c r="A6" s="2" t="s">
        <v>16</v>
      </c>
      <c r="B6" s="2"/>
      <c r="C6" s="2"/>
      <c r="D6" s="2"/>
      <c r="E6" s="4">
        <v>42396</v>
      </c>
      <c r="F6" s="5"/>
      <c r="G6" s="49"/>
      <c r="H6" s="5"/>
      <c r="I6" s="5"/>
      <c r="J6" s="5"/>
      <c r="K6" s="5"/>
      <c r="L6" s="6">
        <v>50</v>
      </c>
      <c r="M6" s="61">
        <v>22</v>
      </c>
      <c r="N6" s="6">
        <f t="shared" si="0"/>
        <v>19.599999999999998</v>
      </c>
    </row>
    <row r="7" spans="1:15">
      <c r="A7" s="2" t="s">
        <v>22</v>
      </c>
      <c r="B7" s="2"/>
      <c r="C7" s="4">
        <v>42546</v>
      </c>
      <c r="D7" s="4"/>
      <c r="E7" s="4">
        <v>42571</v>
      </c>
      <c r="F7" s="5"/>
      <c r="G7" s="49"/>
      <c r="H7" s="5">
        <f>6.9+8.5</f>
        <v>15.4</v>
      </c>
      <c r="I7" s="5">
        <f>25*25/30</f>
        <v>20.833333333333332</v>
      </c>
      <c r="J7" s="5"/>
      <c r="K7" s="5"/>
      <c r="L7" s="6">
        <v>120</v>
      </c>
      <c r="M7" s="61">
        <v>25</v>
      </c>
      <c r="N7" s="6">
        <f t="shared" si="0"/>
        <v>66.5</v>
      </c>
    </row>
    <row r="8" spans="1:15">
      <c r="A8" s="2" t="s">
        <v>23</v>
      </c>
      <c r="B8" s="2"/>
      <c r="C8" s="4">
        <v>42560</v>
      </c>
      <c r="D8" s="4"/>
      <c r="E8" s="4">
        <v>42571</v>
      </c>
      <c r="F8" s="5"/>
      <c r="G8" s="49"/>
      <c r="H8" s="5">
        <v>8.5</v>
      </c>
      <c r="I8" s="5">
        <f>25*41/30</f>
        <v>34.166666666666664</v>
      </c>
      <c r="J8" s="5"/>
      <c r="K8" s="5"/>
      <c r="L8" s="6">
        <v>107.5</v>
      </c>
      <c r="M8" s="61">
        <v>25</v>
      </c>
      <c r="N8" s="6">
        <f t="shared" si="0"/>
        <v>57.749999999999993</v>
      </c>
    </row>
    <row r="9" spans="1:15">
      <c r="A9" s="2" t="s">
        <v>24</v>
      </c>
      <c r="B9" s="2"/>
      <c r="C9" s="4">
        <v>42530</v>
      </c>
      <c r="D9" s="4"/>
      <c r="E9" s="4">
        <v>42579</v>
      </c>
      <c r="F9" s="5"/>
      <c r="G9" s="49"/>
      <c r="H9" s="5">
        <f>8.5+6.9</f>
        <v>15.4</v>
      </c>
      <c r="I9" s="5">
        <f>25*52/30</f>
        <v>43.333333333333336</v>
      </c>
      <c r="J9" s="5"/>
      <c r="K9" s="5"/>
      <c r="L9" s="6">
        <v>90</v>
      </c>
      <c r="M9" s="61">
        <v>25</v>
      </c>
      <c r="N9" s="6">
        <f t="shared" si="0"/>
        <v>45.5</v>
      </c>
    </row>
    <row r="10" spans="1:15">
      <c r="A10" s="2" t="s">
        <v>26</v>
      </c>
      <c r="B10" s="2"/>
      <c r="C10" s="4">
        <v>42633</v>
      </c>
      <c r="D10" s="4"/>
      <c r="E10" s="4">
        <v>42644</v>
      </c>
      <c r="F10" s="5"/>
      <c r="G10" s="49"/>
      <c r="H10" s="5">
        <v>8.17</v>
      </c>
      <c r="I10" s="5">
        <f>25/30*10</f>
        <v>8.3333333333333339</v>
      </c>
      <c r="J10" s="5"/>
      <c r="K10" s="5"/>
      <c r="L10" s="6">
        <v>70</v>
      </c>
      <c r="M10" s="61">
        <v>25</v>
      </c>
      <c r="N10" s="6">
        <f t="shared" si="0"/>
        <v>31.499999999999996</v>
      </c>
    </row>
    <row r="11" spans="1:15">
      <c r="A11" s="2" t="s">
        <v>27</v>
      </c>
      <c r="B11" s="2"/>
      <c r="C11" s="4">
        <v>42656</v>
      </c>
      <c r="D11" s="4"/>
      <c r="E11" s="4">
        <v>42705</v>
      </c>
      <c r="F11" s="5"/>
      <c r="G11" s="49"/>
      <c r="H11" s="5">
        <v>8.17</v>
      </c>
      <c r="I11" s="5">
        <f>M11/30*47</f>
        <v>39.166666666666671</v>
      </c>
      <c r="J11" s="5"/>
      <c r="K11" s="5"/>
      <c r="L11" s="6">
        <v>40</v>
      </c>
      <c r="M11" s="62">
        <v>25</v>
      </c>
      <c r="N11" s="18">
        <f t="shared" si="0"/>
        <v>10.5</v>
      </c>
    </row>
    <row r="12" spans="1:15">
      <c r="A12" s="2" t="s">
        <v>29</v>
      </c>
      <c r="B12" s="2"/>
      <c r="C12" s="4">
        <v>42683</v>
      </c>
      <c r="D12" s="4"/>
      <c r="E12" s="4">
        <v>42718</v>
      </c>
      <c r="F12" s="5"/>
      <c r="G12" s="49"/>
      <c r="H12" s="5">
        <v>8.9700000000000006</v>
      </c>
      <c r="I12" s="5">
        <f>M12/30*35</f>
        <v>42</v>
      </c>
      <c r="J12" s="5"/>
      <c r="K12" s="5"/>
      <c r="L12" s="6">
        <f>105</f>
        <v>105</v>
      </c>
      <c r="M12" s="62">
        <v>36</v>
      </c>
      <c r="N12" s="18">
        <f t="shared" si="0"/>
        <v>48.3</v>
      </c>
    </row>
    <row r="13" spans="1:15">
      <c r="A13" s="2" t="s">
        <v>28</v>
      </c>
      <c r="B13" s="2"/>
      <c r="C13" s="4">
        <v>42711</v>
      </c>
      <c r="D13" s="4"/>
      <c r="E13" s="4">
        <v>42734</v>
      </c>
      <c r="F13" s="5"/>
      <c r="G13" s="49"/>
      <c r="H13" s="5">
        <v>8.17</v>
      </c>
      <c r="I13" s="5">
        <f>M13/30*23</f>
        <v>19.166666666666668</v>
      </c>
      <c r="J13" s="5"/>
      <c r="K13" s="5"/>
      <c r="L13" s="6">
        <v>40</v>
      </c>
      <c r="M13" s="62">
        <v>25</v>
      </c>
      <c r="N13" s="18">
        <f t="shared" si="0"/>
        <v>10.5</v>
      </c>
    </row>
    <row r="14" spans="1:15">
      <c r="A14" s="2" t="s">
        <v>30</v>
      </c>
      <c r="B14" s="2"/>
      <c r="C14" s="4">
        <v>42732</v>
      </c>
      <c r="D14" s="4"/>
      <c r="E14" s="4">
        <v>42759</v>
      </c>
      <c r="F14" s="5"/>
      <c r="G14" s="49"/>
      <c r="H14" s="5">
        <v>18.8</v>
      </c>
      <c r="I14" s="5">
        <f>M14/30*27</f>
        <v>23.400000000000002</v>
      </c>
      <c r="J14" s="5"/>
      <c r="K14" s="5"/>
      <c r="L14" s="6">
        <v>90</v>
      </c>
      <c r="M14" s="62">
        <v>26</v>
      </c>
      <c r="N14" s="18">
        <f t="shared" si="0"/>
        <v>44.8</v>
      </c>
    </row>
    <row r="15" spans="1:15">
      <c r="A15" s="2" t="s">
        <v>31</v>
      </c>
      <c r="B15" s="2"/>
      <c r="C15" s="4">
        <v>42735</v>
      </c>
      <c r="D15" s="4"/>
      <c r="E15" s="4">
        <v>42782</v>
      </c>
      <c r="F15" s="5">
        <v>50</v>
      </c>
      <c r="G15" s="49"/>
      <c r="H15" s="5">
        <v>20.63</v>
      </c>
      <c r="I15" s="5">
        <f>M15/30*46</f>
        <v>42.933333333333337</v>
      </c>
      <c r="J15" s="5"/>
      <c r="K15" s="5"/>
      <c r="L15" s="6">
        <v>92</v>
      </c>
      <c r="M15" s="61">
        <v>28</v>
      </c>
      <c r="N15" s="6">
        <f t="shared" si="0"/>
        <v>44.8</v>
      </c>
    </row>
    <row r="16" spans="1:15">
      <c r="A16" s="2" t="s">
        <v>32</v>
      </c>
      <c r="B16" s="2"/>
      <c r="C16" s="4">
        <v>42857</v>
      </c>
      <c r="D16" s="4"/>
      <c r="E16" s="4">
        <v>42866</v>
      </c>
      <c r="F16" s="5"/>
      <c r="G16" s="49"/>
      <c r="H16" s="5"/>
      <c r="I16" s="5">
        <f>23/30*9</f>
        <v>6.9</v>
      </c>
      <c r="J16" s="5">
        <f>60*0.7</f>
        <v>42</v>
      </c>
      <c r="K16" s="5"/>
      <c r="L16" s="6">
        <v>60</v>
      </c>
      <c r="M16" s="61">
        <v>23</v>
      </c>
      <c r="N16" s="6">
        <f t="shared" si="0"/>
        <v>25.9</v>
      </c>
    </row>
    <row r="17" spans="1:15">
      <c r="A17" s="2" t="s">
        <v>37</v>
      </c>
      <c r="B17" s="2"/>
      <c r="C17" s="4">
        <v>42891</v>
      </c>
      <c r="D17" s="4"/>
      <c r="E17" s="4">
        <v>42915</v>
      </c>
      <c r="F17" s="5"/>
      <c r="G17" s="49"/>
      <c r="H17" s="5">
        <v>6.83</v>
      </c>
      <c r="I17" s="5">
        <f>24/30*24</f>
        <v>19.200000000000003</v>
      </c>
      <c r="J17" s="5"/>
      <c r="K17" s="5"/>
      <c r="L17" s="6">
        <v>70</v>
      </c>
      <c r="M17" s="61">
        <v>24</v>
      </c>
      <c r="N17" s="6">
        <f t="shared" si="0"/>
        <v>32.199999999999996</v>
      </c>
    </row>
    <row r="18" spans="1:15">
      <c r="A18" s="2" t="s">
        <v>39</v>
      </c>
      <c r="B18" s="2"/>
      <c r="C18" s="4">
        <v>43081</v>
      </c>
      <c r="D18" s="4"/>
      <c r="E18" s="4">
        <v>43109</v>
      </c>
      <c r="F18" s="5"/>
      <c r="G18" s="49"/>
      <c r="H18" s="5">
        <v>9.83</v>
      </c>
      <c r="I18" s="5">
        <f>36/30*28</f>
        <v>33.6</v>
      </c>
      <c r="J18" s="5"/>
      <c r="K18" s="5"/>
      <c r="L18" s="6">
        <v>120</v>
      </c>
      <c r="M18" s="61">
        <v>36</v>
      </c>
      <c r="N18" s="6">
        <f t="shared" si="0"/>
        <v>58.8</v>
      </c>
    </row>
    <row r="19" spans="1:15">
      <c r="A19" s="22" t="s">
        <v>56</v>
      </c>
      <c r="B19" s="22"/>
      <c r="C19" s="4">
        <v>43361</v>
      </c>
      <c r="D19" s="4"/>
      <c r="E19" s="4">
        <v>43132</v>
      </c>
      <c r="F19" s="5"/>
      <c r="G19" s="49"/>
      <c r="H19" s="5">
        <v>14.11</v>
      </c>
      <c r="I19" s="5">
        <f>25*4+25/30*12</f>
        <v>110</v>
      </c>
      <c r="J19" s="5"/>
      <c r="K19" s="5"/>
      <c r="L19" s="6">
        <v>75</v>
      </c>
      <c r="M19" s="61">
        <v>25</v>
      </c>
      <c r="N19" s="6">
        <f t="shared" si="0"/>
        <v>35</v>
      </c>
    </row>
    <row r="20" spans="1:15">
      <c r="A20" s="2" t="s">
        <v>40</v>
      </c>
      <c r="B20" s="2"/>
      <c r="C20" s="4">
        <v>43106</v>
      </c>
      <c r="D20" s="4"/>
      <c r="E20" s="4">
        <v>43146</v>
      </c>
      <c r="F20" s="5"/>
      <c r="G20" s="49"/>
      <c r="H20" s="5">
        <v>8.2899999999999991</v>
      </c>
      <c r="I20" s="5">
        <f>25/30*39</f>
        <v>32.5</v>
      </c>
      <c r="J20" s="5"/>
      <c r="K20" s="5"/>
      <c r="L20" s="6">
        <v>70</v>
      </c>
      <c r="M20" s="61">
        <v>26</v>
      </c>
      <c r="N20" s="6">
        <f t="shared" si="0"/>
        <v>30.799999999999997</v>
      </c>
    </row>
    <row r="21" spans="1:15">
      <c r="A21" s="2" t="s">
        <v>44</v>
      </c>
      <c r="B21" s="2"/>
      <c r="C21" s="4">
        <v>43196</v>
      </c>
      <c r="D21" s="4"/>
      <c r="E21" s="4">
        <v>43250</v>
      </c>
      <c r="F21" s="5"/>
      <c r="G21" s="49"/>
      <c r="H21" s="5">
        <v>13.78</v>
      </c>
      <c r="I21" s="5">
        <f>25*24/30+25</f>
        <v>45</v>
      </c>
      <c r="J21" s="5"/>
      <c r="K21" s="5"/>
      <c r="L21" s="6">
        <f>60</f>
        <v>60</v>
      </c>
      <c r="M21" s="61">
        <v>25</v>
      </c>
      <c r="N21" s="6">
        <f t="shared" si="0"/>
        <v>24.5</v>
      </c>
    </row>
    <row r="22" spans="1:15">
      <c r="A22" s="22" t="s">
        <v>47</v>
      </c>
      <c r="B22" s="22"/>
      <c r="C22" s="4">
        <v>43355</v>
      </c>
      <c r="D22" s="4"/>
      <c r="E22" s="4">
        <v>43277</v>
      </c>
      <c r="F22" s="5"/>
      <c r="G22" s="49"/>
      <c r="H22" s="5">
        <v>19.98</v>
      </c>
      <c r="I22" s="5">
        <f>36*2+36/30*16</f>
        <v>91.2</v>
      </c>
      <c r="J22" s="5"/>
      <c r="K22" s="5"/>
      <c r="L22" s="6">
        <v>105</v>
      </c>
      <c r="M22" s="61">
        <v>36</v>
      </c>
      <c r="N22" s="6">
        <f t="shared" si="0"/>
        <v>48.3</v>
      </c>
    </row>
    <row r="23" spans="1:15">
      <c r="A23" s="22" t="s">
        <v>48</v>
      </c>
      <c r="B23" s="22"/>
      <c r="C23" s="4">
        <v>43367</v>
      </c>
      <c r="D23" s="4"/>
      <c r="E23" s="4">
        <v>43284</v>
      </c>
      <c r="F23" s="5"/>
      <c r="G23" s="49"/>
      <c r="H23" s="5">
        <v>9.1</v>
      </c>
      <c r="I23" s="5">
        <f>25+25/30*27</f>
        <v>47.5</v>
      </c>
      <c r="J23" s="5"/>
      <c r="K23" s="5"/>
      <c r="L23" s="6">
        <v>75</v>
      </c>
      <c r="M23" s="61">
        <v>25</v>
      </c>
      <c r="N23" s="6">
        <f t="shared" si="0"/>
        <v>35</v>
      </c>
    </row>
    <row r="24" spans="1:15">
      <c r="A24" s="2" t="s">
        <v>45</v>
      </c>
      <c r="B24" s="2"/>
      <c r="C24" s="4"/>
      <c r="D24" s="4"/>
      <c r="E24" s="4">
        <v>43286</v>
      </c>
      <c r="F24" s="5"/>
      <c r="G24" s="49"/>
      <c r="H24" s="5">
        <v>11.56</v>
      </c>
      <c r="I24" s="5"/>
      <c r="J24" s="5"/>
      <c r="K24" s="5"/>
      <c r="L24" s="6">
        <v>150</v>
      </c>
      <c r="M24" s="61">
        <v>76</v>
      </c>
      <c r="N24" s="6">
        <f t="shared" si="0"/>
        <v>51.8</v>
      </c>
      <c r="O24" s="20"/>
    </row>
    <row r="25" spans="1:15">
      <c r="A25" s="22" t="s">
        <v>49</v>
      </c>
      <c r="B25" s="22"/>
      <c r="C25" s="4">
        <v>43367</v>
      </c>
      <c r="D25" s="4"/>
      <c r="E25" s="4">
        <v>43291</v>
      </c>
      <c r="F25" s="5"/>
      <c r="G25" s="49"/>
      <c r="H25" s="5">
        <v>10.039999999999999</v>
      </c>
      <c r="I25" s="5">
        <f>50+25/30*14</f>
        <v>61.666666666666671</v>
      </c>
      <c r="J25" s="5"/>
      <c r="K25" s="5"/>
      <c r="L25" s="6">
        <v>50</v>
      </c>
      <c r="M25" s="61">
        <v>22</v>
      </c>
      <c r="N25" s="18">
        <f t="shared" si="0"/>
        <v>19.599999999999998</v>
      </c>
    </row>
    <row r="26" spans="1:15">
      <c r="A26" s="22" t="s">
        <v>51</v>
      </c>
      <c r="B26" s="22"/>
      <c r="C26" s="4">
        <v>43358</v>
      </c>
      <c r="D26" s="4"/>
      <c r="E26" s="4">
        <v>43291</v>
      </c>
      <c r="F26" s="5"/>
      <c r="G26" s="49"/>
      <c r="H26" s="5">
        <v>10.039999999999999</v>
      </c>
      <c r="I26" s="5">
        <f>50+25/30*5</f>
        <v>54.166666666666664</v>
      </c>
      <c r="J26" s="5"/>
      <c r="K26" s="5"/>
      <c r="L26" s="6">
        <v>75</v>
      </c>
      <c r="M26" s="61">
        <v>25</v>
      </c>
      <c r="N26" s="6">
        <f t="shared" si="0"/>
        <v>35</v>
      </c>
    </row>
    <row r="27" spans="1:15">
      <c r="A27" s="22" t="s">
        <v>52</v>
      </c>
      <c r="B27" s="22"/>
      <c r="C27" s="4">
        <v>43367</v>
      </c>
      <c r="D27" s="4"/>
      <c r="E27" s="4">
        <v>43308</v>
      </c>
      <c r="F27" s="5"/>
      <c r="G27" s="49"/>
      <c r="H27" s="5">
        <v>10.86</v>
      </c>
      <c r="I27" s="5">
        <f>25+25/30*27</f>
        <v>47.5</v>
      </c>
      <c r="J27" s="5"/>
      <c r="K27" s="5"/>
      <c r="L27" s="6">
        <v>75</v>
      </c>
      <c r="M27" s="61">
        <v>25</v>
      </c>
      <c r="N27" s="27">
        <f t="shared" si="0"/>
        <v>35</v>
      </c>
    </row>
    <row r="28" spans="1:15">
      <c r="A28" s="22" t="s">
        <v>50</v>
      </c>
      <c r="B28" s="22"/>
      <c r="C28" s="4">
        <v>43367</v>
      </c>
      <c r="D28" s="4"/>
      <c r="E28" s="4">
        <v>43312</v>
      </c>
      <c r="F28" s="5"/>
      <c r="G28" s="49"/>
      <c r="H28" s="5">
        <v>10.86</v>
      </c>
      <c r="I28" s="5">
        <f>25+25/30*24</f>
        <v>45</v>
      </c>
      <c r="J28" s="5"/>
      <c r="K28" s="5"/>
      <c r="L28" s="6">
        <v>70</v>
      </c>
      <c r="M28" s="61">
        <v>25</v>
      </c>
      <c r="N28" s="6">
        <f t="shared" si="0"/>
        <v>31.499999999999996</v>
      </c>
    </row>
    <row r="29" spans="1:15">
      <c r="A29" s="22" t="s">
        <v>55</v>
      </c>
      <c r="B29" s="22"/>
      <c r="C29" s="4">
        <v>43363</v>
      </c>
      <c r="D29" s="4"/>
      <c r="E29" s="4">
        <v>43440</v>
      </c>
      <c r="F29" s="5"/>
      <c r="G29" s="49"/>
      <c r="H29" s="5">
        <v>14.11</v>
      </c>
      <c r="I29" s="5">
        <f>25*2+25*16/30</f>
        <v>63.333333333333336</v>
      </c>
      <c r="J29" s="5"/>
      <c r="K29" s="5"/>
      <c r="L29" s="6">
        <v>75</v>
      </c>
      <c r="M29" s="61">
        <v>25</v>
      </c>
      <c r="N29" s="6">
        <f t="shared" si="0"/>
        <v>35</v>
      </c>
    </row>
    <row r="30" spans="1:15">
      <c r="A30" s="22" t="s">
        <v>54</v>
      </c>
      <c r="B30" s="22"/>
      <c r="C30" s="4">
        <v>43167</v>
      </c>
      <c r="D30" s="4"/>
      <c r="E30" s="4">
        <v>43455</v>
      </c>
      <c r="F30" s="5"/>
      <c r="G30" s="49"/>
      <c r="H30" s="5">
        <v>10.86</v>
      </c>
      <c r="I30" s="5">
        <f>9*25+25*13/30</f>
        <v>235.83333333333334</v>
      </c>
      <c r="J30" s="5"/>
      <c r="K30" s="5"/>
      <c r="L30" s="6">
        <v>90</v>
      </c>
      <c r="M30" s="61">
        <v>36</v>
      </c>
      <c r="N30" s="6">
        <f t="shared" si="0"/>
        <v>37.799999999999997</v>
      </c>
    </row>
    <row r="31" spans="1:15">
      <c r="A31" s="22" t="s">
        <v>57</v>
      </c>
      <c r="B31" s="55"/>
      <c r="C31" s="31">
        <v>43478</v>
      </c>
      <c r="D31" s="31"/>
      <c r="E31" s="4">
        <v>43536</v>
      </c>
      <c r="F31" s="5"/>
      <c r="G31" s="49"/>
      <c r="H31" s="5">
        <v>10.86</v>
      </c>
      <c r="I31" s="5">
        <v>25</v>
      </c>
      <c r="J31" s="5"/>
      <c r="K31" s="5"/>
      <c r="L31" s="6">
        <v>70</v>
      </c>
      <c r="M31" s="61">
        <v>25</v>
      </c>
      <c r="N31" s="6">
        <f t="shared" si="0"/>
        <v>31.499999999999996</v>
      </c>
    </row>
    <row r="32" spans="1:15">
      <c r="A32" s="22" t="s">
        <v>59</v>
      </c>
      <c r="B32" s="22"/>
      <c r="C32" s="4">
        <v>43528</v>
      </c>
      <c r="D32" s="4"/>
      <c r="E32" s="4">
        <v>43538</v>
      </c>
      <c r="F32" s="5"/>
      <c r="G32" s="49"/>
      <c r="H32" s="5">
        <v>14.92</v>
      </c>
      <c r="I32" s="5">
        <f>77/30*10</f>
        <v>25.666666666666668</v>
      </c>
      <c r="J32" s="5"/>
      <c r="K32" s="5"/>
      <c r="L32" s="6">
        <v>169</v>
      </c>
      <c r="M32" s="61">
        <f>64+11+2</f>
        <v>77</v>
      </c>
      <c r="N32" s="6">
        <f t="shared" si="0"/>
        <v>64.399999999999991</v>
      </c>
    </row>
    <row r="33" spans="1:15">
      <c r="A33" s="22" t="s">
        <v>58</v>
      </c>
      <c r="B33" s="22"/>
      <c r="C33" s="4">
        <v>43534</v>
      </c>
      <c r="D33" s="4"/>
      <c r="E33" s="4">
        <v>43542</v>
      </c>
      <c r="F33" s="5"/>
      <c r="G33" s="49"/>
      <c r="H33" s="5">
        <f>10.86*2</f>
        <v>21.72</v>
      </c>
      <c r="I33" s="5">
        <v>0</v>
      </c>
      <c r="J33" s="5"/>
      <c r="K33" s="5"/>
      <c r="L33" s="6">
        <v>120</v>
      </c>
      <c r="M33" s="61">
        <f>60+11</f>
        <v>71</v>
      </c>
      <c r="N33" s="6">
        <f t="shared" si="0"/>
        <v>34.299999999999997</v>
      </c>
    </row>
    <row r="34" spans="1:15">
      <c r="A34" s="22" t="s">
        <v>61</v>
      </c>
      <c r="B34" s="22"/>
      <c r="C34" s="4">
        <v>43482</v>
      </c>
      <c r="D34" s="4"/>
      <c r="E34" s="4">
        <v>43542</v>
      </c>
      <c r="F34" s="5"/>
      <c r="G34" s="49"/>
      <c r="H34" s="5">
        <v>11.1</v>
      </c>
      <c r="I34" s="5">
        <f>25*2</f>
        <v>50</v>
      </c>
      <c r="J34" s="5"/>
      <c r="K34" s="5"/>
      <c r="L34" s="6">
        <v>70</v>
      </c>
      <c r="M34" s="61">
        <v>26</v>
      </c>
      <c r="N34" s="6">
        <f t="shared" si="0"/>
        <v>30.799999999999997</v>
      </c>
    </row>
    <row r="35" spans="1:15">
      <c r="A35" s="22" t="s">
        <v>63</v>
      </c>
      <c r="B35" s="22"/>
      <c r="C35" s="4">
        <v>43593</v>
      </c>
      <c r="D35" s="4"/>
      <c r="E35" s="4">
        <v>43605</v>
      </c>
      <c r="F35" s="5"/>
      <c r="G35" s="49"/>
      <c r="H35" s="5">
        <f>10.86*2+20</f>
        <v>41.72</v>
      </c>
      <c r="I35" s="5">
        <f>18/30*12</f>
        <v>7.1999999999999993</v>
      </c>
      <c r="J35" s="5"/>
      <c r="K35" s="5"/>
      <c r="L35" s="6">
        <v>100</v>
      </c>
      <c r="M35" s="61">
        <f>11+7</f>
        <v>18</v>
      </c>
      <c r="N35" s="6">
        <f t="shared" si="0"/>
        <v>57.4</v>
      </c>
    </row>
    <row r="36" spans="1:15">
      <c r="A36" s="22" t="s">
        <v>67</v>
      </c>
      <c r="B36" s="22"/>
      <c r="C36" s="4">
        <v>43600</v>
      </c>
      <c r="D36" s="4"/>
      <c r="E36" s="4">
        <v>43629</v>
      </c>
      <c r="F36" s="5"/>
      <c r="G36" s="49"/>
      <c r="H36" s="5">
        <f>10.86*2</f>
        <v>21.72</v>
      </c>
      <c r="I36" s="5">
        <f>22/30*58</f>
        <v>42.533333333333331</v>
      </c>
      <c r="J36" s="5">
        <v>50</v>
      </c>
      <c r="K36" s="5">
        <f>H36+I36+J36</f>
        <v>114.25333333333333</v>
      </c>
      <c r="L36" s="6">
        <v>60</v>
      </c>
      <c r="M36" s="61">
        <v>25</v>
      </c>
      <c r="N36" s="6">
        <v>0</v>
      </c>
    </row>
    <row r="37" spans="1:15">
      <c r="A37" s="22" t="s">
        <v>66</v>
      </c>
      <c r="B37" s="22"/>
      <c r="C37" s="4">
        <v>43600</v>
      </c>
      <c r="D37" s="4"/>
      <c r="E37" s="4">
        <v>43629</v>
      </c>
      <c r="F37" s="5"/>
      <c r="G37" s="49"/>
      <c r="H37" s="5">
        <f>10.86</f>
        <v>10.86</v>
      </c>
      <c r="I37" s="5">
        <f>39/30*58</f>
        <v>75.400000000000006</v>
      </c>
      <c r="J37" s="5"/>
      <c r="K37" s="5">
        <f>H37+I37</f>
        <v>86.26</v>
      </c>
      <c r="L37" s="6">
        <v>110</v>
      </c>
      <c r="M37" s="61">
        <f>25+11+3</f>
        <v>39</v>
      </c>
      <c r="N37" s="6">
        <v>0</v>
      </c>
      <c r="O37" t="s">
        <v>73</v>
      </c>
    </row>
    <row r="38" spans="1:15">
      <c r="A38" s="22" t="s">
        <v>64</v>
      </c>
      <c r="B38" s="22"/>
      <c r="C38" s="4">
        <v>43627</v>
      </c>
      <c r="D38" s="4"/>
      <c r="E38" s="4">
        <v>43629</v>
      </c>
      <c r="F38" s="5"/>
      <c r="G38" s="49"/>
      <c r="H38" s="5">
        <v>10.86</v>
      </c>
      <c r="I38" s="5">
        <f>25/30*2</f>
        <v>1.6666666666666667</v>
      </c>
      <c r="J38" s="5"/>
      <c r="K38" s="5">
        <f>H38+I38</f>
        <v>12.526666666666666</v>
      </c>
      <c r="L38" s="6">
        <v>75</v>
      </c>
      <c r="M38" s="61">
        <v>33</v>
      </c>
      <c r="N38" s="6">
        <f t="shared" ref="N38:N51" si="1">(L38-M38)*0.7</f>
        <v>29.4</v>
      </c>
    </row>
    <row r="39" spans="1:15">
      <c r="A39" s="22" t="s">
        <v>65</v>
      </c>
      <c r="B39" s="22"/>
      <c r="C39" s="4">
        <v>43622</v>
      </c>
      <c r="D39" s="4"/>
      <c r="E39" s="4">
        <v>43650</v>
      </c>
      <c r="F39" s="5"/>
      <c r="G39" s="49"/>
      <c r="H39" s="5">
        <v>10.86</v>
      </c>
      <c r="I39" s="5"/>
      <c r="J39" s="5"/>
      <c r="K39" s="5"/>
      <c r="L39" s="6">
        <v>120</v>
      </c>
      <c r="M39" s="61">
        <v>60</v>
      </c>
      <c r="N39" s="6">
        <f t="shared" si="1"/>
        <v>42</v>
      </c>
    </row>
    <row r="40" spans="1:15">
      <c r="A40" s="22" t="s">
        <v>71</v>
      </c>
      <c r="B40" s="22"/>
      <c r="C40" s="4">
        <v>43635</v>
      </c>
      <c r="D40" s="4"/>
      <c r="E40" s="4">
        <v>43662</v>
      </c>
      <c r="F40" s="5"/>
      <c r="G40" s="49"/>
      <c r="H40" s="5">
        <f>10.86*2</f>
        <v>21.72</v>
      </c>
      <c r="I40" s="5"/>
      <c r="J40" s="5"/>
      <c r="K40" s="5"/>
      <c r="L40" s="6">
        <v>70</v>
      </c>
      <c r="M40" s="61">
        <v>26</v>
      </c>
      <c r="N40" s="6">
        <f t="shared" si="1"/>
        <v>30.799999999999997</v>
      </c>
      <c r="O40" t="s">
        <v>72</v>
      </c>
    </row>
    <row r="41" spans="1:15">
      <c r="A41" s="2" t="s">
        <v>75</v>
      </c>
      <c r="B41" s="2"/>
      <c r="C41" s="4">
        <v>43656</v>
      </c>
      <c r="D41" s="4"/>
      <c r="E41" s="4">
        <v>43711</v>
      </c>
      <c r="F41" s="5"/>
      <c r="G41" s="49"/>
      <c r="H41" s="5">
        <v>10.86</v>
      </c>
      <c r="I41" s="5">
        <f>36/30*48</f>
        <v>57.599999999999994</v>
      </c>
      <c r="J41" s="5"/>
      <c r="K41" s="5"/>
      <c r="L41" s="6">
        <v>105</v>
      </c>
      <c r="M41" s="61">
        <v>36</v>
      </c>
      <c r="N41" s="6">
        <f t="shared" si="1"/>
        <v>48.3</v>
      </c>
    </row>
    <row r="42" spans="1:15">
      <c r="A42" s="2" t="s">
        <v>76</v>
      </c>
      <c r="B42" s="2"/>
      <c r="C42" s="4">
        <v>43677</v>
      </c>
      <c r="D42" s="4"/>
      <c r="E42" s="4">
        <v>43713</v>
      </c>
      <c r="F42" s="5"/>
      <c r="G42" s="49"/>
      <c r="H42" s="5">
        <v>24.06</v>
      </c>
      <c r="I42" s="5">
        <f>80/30*35</f>
        <v>93.333333333333329</v>
      </c>
      <c r="J42" s="5">
        <v>40</v>
      </c>
      <c r="K42" s="5"/>
      <c r="L42" s="6">
        <v>149</v>
      </c>
      <c r="M42" s="61">
        <v>80</v>
      </c>
      <c r="N42" s="6">
        <f t="shared" si="1"/>
        <v>48.3</v>
      </c>
      <c r="O42" t="s">
        <v>79</v>
      </c>
    </row>
    <row r="43" spans="1:15">
      <c r="A43" s="2" t="s">
        <v>81</v>
      </c>
      <c r="B43" s="2"/>
      <c r="C43" s="4">
        <v>43788</v>
      </c>
      <c r="D43" s="4"/>
      <c r="E43" s="4">
        <v>43865</v>
      </c>
      <c r="F43" s="5"/>
      <c r="G43" s="49"/>
      <c r="H43" s="5">
        <v>9.14</v>
      </c>
      <c r="I43" s="5">
        <f>25/30*45</f>
        <v>37.5</v>
      </c>
      <c r="J43" s="5"/>
      <c r="K43" s="5"/>
      <c r="L43" s="6">
        <v>90</v>
      </c>
      <c r="M43" s="61">
        <v>25</v>
      </c>
      <c r="N43" s="6">
        <f t="shared" si="1"/>
        <v>45.5</v>
      </c>
    </row>
    <row r="44" spans="1:15">
      <c r="A44" s="22" t="s">
        <v>87</v>
      </c>
      <c r="B44" s="22"/>
      <c r="C44" s="35">
        <v>43878</v>
      </c>
      <c r="D44" s="35"/>
      <c r="E44" s="35">
        <v>43892</v>
      </c>
      <c r="F44" s="5"/>
      <c r="G44" s="49"/>
      <c r="H44" s="5">
        <v>12.19</v>
      </c>
      <c r="I44" s="5">
        <v>5.5</v>
      </c>
      <c r="J44" s="5"/>
      <c r="K44" s="5"/>
      <c r="L44" s="6">
        <v>25</v>
      </c>
      <c r="M44" s="61">
        <v>11</v>
      </c>
      <c r="N44" s="6">
        <f t="shared" si="1"/>
        <v>9.7999999999999989</v>
      </c>
    </row>
    <row r="45" spans="1:15">
      <c r="A45" s="22" t="s">
        <v>89</v>
      </c>
      <c r="B45" s="22"/>
      <c r="C45" s="35">
        <v>43908</v>
      </c>
      <c r="D45" s="35"/>
      <c r="E45" s="35">
        <v>43893</v>
      </c>
      <c r="F45" s="5"/>
      <c r="G45" s="49"/>
      <c r="H45" s="5">
        <v>9.6</v>
      </c>
      <c r="I45" s="5">
        <v>5.5</v>
      </c>
      <c r="J45" s="5"/>
      <c r="K45" s="5"/>
      <c r="L45" s="6">
        <v>25</v>
      </c>
      <c r="M45" s="61">
        <v>11</v>
      </c>
      <c r="N45" s="6">
        <f t="shared" si="1"/>
        <v>9.7999999999999989</v>
      </c>
    </row>
    <row r="46" spans="1:15">
      <c r="A46" s="22" t="s">
        <v>85</v>
      </c>
      <c r="B46" s="22"/>
      <c r="C46" s="35">
        <v>43881</v>
      </c>
      <c r="D46" s="35"/>
      <c r="E46" s="35">
        <v>43895</v>
      </c>
      <c r="F46" s="5"/>
      <c r="G46" s="49"/>
      <c r="H46" s="5">
        <v>9.14</v>
      </c>
      <c r="I46" s="5">
        <f>11/30*15</f>
        <v>5.5</v>
      </c>
      <c r="J46" s="5"/>
      <c r="K46" s="5"/>
      <c r="L46" s="6">
        <v>25</v>
      </c>
      <c r="M46" s="61">
        <v>11</v>
      </c>
      <c r="N46" s="6">
        <f t="shared" si="1"/>
        <v>9.7999999999999989</v>
      </c>
    </row>
    <row r="47" spans="1:15">
      <c r="A47" s="39" t="s">
        <v>82</v>
      </c>
      <c r="B47" s="28"/>
      <c r="C47" s="36">
        <v>40235</v>
      </c>
      <c r="D47" s="36"/>
      <c r="E47" s="36">
        <v>43901</v>
      </c>
      <c r="F47" s="5"/>
      <c r="G47" s="34"/>
      <c r="H47" s="37">
        <v>9.6</v>
      </c>
      <c r="I47" s="5">
        <f>11/2</f>
        <v>5.5</v>
      </c>
      <c r="J47" s="5"/>
      <c r="K47" s="5"/>
      <c r="L47" s="17">
        <v>25</v>
      </c>
      <c r="M47" s="63">
        <v>11</v>
      </c>
      <c r="N47" s="26">
        <f t="shared" si="1"/>
        <v>9.7999999999999989</v>
      </c>
    </row>
    <row r="48" spans="1:15">
      <c r="A48" s="22" t="s">
        <v>84</v>
      </c>
      <c r="B48" s="22"/>
      <c r="C48" s="35">
        <v>43889</v>
      </c>
      <c r="D48" s="35"/>
      <c r="E48" s="35">
        <v>43903</v>
      </c>
      <c r="F48" s="5"/>
      <c r="G48" s="49"/>
      <c r="H48" s="5">
        <v>9.14</v>
      </c>
      <c r="I48" s="5">
        <f>11/30*15</f>
        <v>5.5</v>
      </c>
      <c r="J48" s="5"/>
      <c r="K48" s="5"/>
      <c r="L48" s="6">
        <v>25</v>
      </c>
      <c r="M48" s="61">
        <v>11</v>
      </c>
      <c r="N48" s="6">
        <f t="shared" si="1"/>
        <v>9.7999999999999989</v>
      </c>
    </row>
    <row r="49" spans="1:16">
      <c r="A49" s="22" t="s">
        <v>80</v>
      </c>
      <c r="B49" s="22"/>
      <c r="C49" s="35">
        <v>43873</v>
      </c>
      <c r="D49" s="35"/>
      <c r="E49" s="35">
        <v>43910</v>
      </c>
      <c r="F49" s="5"/>
      <c r="G49" s="49"/>
      <c r="H49" s="5">
        <v>21.84</v>
      </c>
      <c r="I49" s="5">
        <f>56/30*38</f>
        <v>70.933333333333337</v>
      </c>
      <c r="J49" s="5"/>
      <c r="K49" s="5"/>
      <c r="L49" s="6">
        <v>120</v>
      </c>
      <c r="M49" s="61">
        <v>56</v>
      </c>
      <c r="N49" s="6">
        <f t="shared" si="1"/>
        <v>44.8</v>
      </c>
    </row>
    <row r="50" spans="1:16">
      <c r="A50" s="22" t="s">
        <v>83</v>
      </c>
      <c r="B50" s="22"/>
      <c r="C50" s="35">
        <v>43872</v>
      </c>
      <c r="D50" s="35"/>
      <c r="E50" s="35">
        <v>43913</v>
      </c>
      <c r="F50" s="5"/>
      <c r="G50" s="49"/>
      <c r="H50" s="5">
        <v>12.24</v>
      </c>
      <c r="I50" s="5">
        <f>45/30*42</f>
        <v>63</v>
      </c>
      <c r="J50" s="5"/>
      <c r="K50" s="5"/>
      <c r="L50" s="6">
        <v>85</v>
      </c>
      <c r="M50" s="61">
        <v>45</v>
      </c>
      <c r="N50" s="6">
        <f t="shared" si="1"/>
        <v>28</v>
      </c>
    </row>
    <row r="51" spans="1:16">
      <c r="A51" s="22" t="s">
        <v>88</v>
      </c>
      <c r="B51" s="22"/>
      <c r="C51" s="35">
        <v>43855</v>
      </c>
      <c r="D51" s="35"/>
      <c r="E51" s="35">
        <v>43941</v>
      </c>
      <c r="F51" s="5"/>
      <c r="G51" s="49"/>
      <c r="H51" s="5">
        <v>13.93</v>
      </c>
      <c r="I51" s="5">
        <f>56/30*85</f>
        <v>158.66666666666666</v>
      </c>
      <c r="J51" s="5"/>
      <c r="K51" s="5"/>
      <c r="L51" s="6">
        <v>110</v>
      </c>
      <c r="M51" s="61">
        <v>56</v>
      </c>
      <c r="N51" s="6">
        <f t="shared" si="1"/>
        <v>37.799999999999997</v>
      </c>
    </row>
    <row r="52" spans="1:16">
      <c r="A52" s="22" t="s">
        <v>90</v>
      </c>
      <c r="B52" s="22"/>
      <c r="C52" s="35" t="s">
        <v>96</v>
      </c>
      <c r="D52" s="35"/>
      <c r="E52" s="35">
        <v>44015</v>
      </c>
      <c r="F52" s="5" t="s">
        <v>160</v>
      </c>
      <c r="G52" s="49">
        <v>12.5</v>
      </c>
      <c r="H52" s="5">
        <v>11.29</v>
      </c>
      <c r="I52" s="5">
        <f>100</f>
        <v>100</v>
      </c>
      <c r="J52" s="5"/>
      <c r="K52" s="5"/>
      <c r="L52" s="6">
        <v>75</v>
      </c>
      <c r="M52" s="61">
        <f>25+11</f>
        <v>36</v>
      </c>
      <c r="N52" s="6">
        <f>12.5+(62.5-M52)*0.7</f>
        <v>31.049999999999997</v>
      </c>
      <c r="P52" s="41"/>
    </row>
    <row r="53" spans="1:16">
      <c r="A53" s="22" t="s">
        <v>97</v>
      </c>
      <c r="B53" s="22"/>
      <c r="C53" s="35">
        <v>43990</v>
      </c>
      <c r="D53" s="35"/>
      <c r="E53" s="35">
        <v>44036</v>
      </c>
      <c r="F53" s="5"/>
      <c r="G53" s="49"/>
      <c r="H53" s="5">
        <v>8.75</v>
      </c>
      <c r="I53" s="5">
        <f>56/30*46</f>
        <v>85.866666666666674</v>
      </c>
      <c r="J53" s="5"/>
      <c r="K53" s="5"/>
      <c r="L53" s="6">
        <v>110</v>
      </c>
      <c r="M53" s="61">
        <f>45+11</f>
        <v>56</v>
      </c>
      <c r="N53" s="6">
        <f>(L53-M53)*0.7</f>
        <v>37.799999999999997</v>
      </c>
    </row>
    <row r="54" spans="1:16">
      <c r="A54" s="22" t="s">
        <v>95</v>
      </c>
      <c r="B54" s="22"/>
      <c r="C54" s="35">
        <v>44028</v>
      </c>
      <c r="D54" s="35"/>
      <c r="E54" s="35">
        <v>44040</v>
      </c>
      <c r="F54" s="5"/>
      <c r="G54" s="49"/>
      <c r="H54" s="5">
        <v>8.75</v>
      </c>
      <c r="I54" s="5">
        <f>41/30*12</f>
        <v>16.399999999999999</v>
      </c>
      <c r="J54" s="5"/>
      <c r="K54" s="5"/>
      <c r="L54" s="6">
        <v>60</v>
      </c>
      <c r="M54" s="61">
        <v>41</v>
      </c>
      <c r="N54" s="6">
        <f>(L54-M54)*0.7</f>
        <v>13.299999999999999</v>
      </c>
    </row>
    <row r="55" spans="1:16">
      <c r="A55" s="22" t="s">
        <v>98</v>
      </c>
      <c r="B55" s="22"/>
      <c r="C55" s="35">
        <v>44048</v>
      </c>
      <c r="D55" s="35"/>
      <c r="E55" s="35">
        <v>44081</v>
      </c>
      <c r="F55" s="5" t="s">
        <v>160</v>
      </c>
      <c r="G55" s="49">
        <v>17.5</v>
      </c>
      <c r="H55" s="5">
        <v>27.88</v>
      </c>
      <c r="I55" s="5">
        <f>58/30*32</f>
        <v>61.866666666666667</v>
      </c>
      <c r="J55" s="5">
        <v>125</v>
      </c>
      <c r="K55" s="5"/>
      <c r="L55" s="6">
        <v>140</v>
      </c>
      <c r="M55" s="61">
        <f>25+33</f>
        <v>58</v>
      </c>
      <c r="N55" s="6">
        <f>17.5+64.5*0.7</f>
        <v>62.65</v>
      </c>
      <c r="P55" s="41"/>
    </row>
    <row r="56" spans="1:16">
      <c r="A56" s="22" t="s">
        <v>91</v>
      </c>
      <c r="B56" s="22"/>
      <c r="C56" s="35">
        <v>44011</v>
      </c>
      <c r="D56" s="35"/>
      <c r="E56" s="35">
        <v>44084</v>
      </c>
      <c r="F56" s="5"/>
      <c r="G56" s="49"/>
      <c r="H56" s="5">
        <v>11.29</v>
      </c>
      <c r="I56" s="5">
        <f>25/30*71</f>
        <v>59.166666666666671</v>
      </c>
      <c r="J56" s="5"/>
      <c r="K56" s="5"/>
      <c r="L56" s="6">
        <v>40</v>
      </c>
      <c r="M56" s="61">
        <v>25</v>
      </c>
      <c r="N56" s="6">
        <f>(L56-M56)*0.7</f>
        <v>10.5</v>
      </c>
    </row>
    <row r="57" spans="1:16">
      <c r="A57" s="2" t="s">
        <v>99</v>
      </c>
      <c r="B57" s="2"/>
      <c r="C57" s="35">
        <v>44084</v>
      </c>
      <c r="D57" s="35"/>
      <c r="E57" s="35">
        <v>44105</v>
      </c>
      <c r="F57" s="5" t="s">
        <v>160</v>
      </c>
      <c r="G57" s="49">
        <v>5</v>
      </c>
      <c r="H57" s="5">
        <v>12.24</v>
      </c>
      <c r="I57" s="5">
        <f>25/30*20</f>
        <v>16.666666666666668</v>
      </c>
      <c r="J57" s="5"/>
      <c r="K57" s="5"/>
      <c r="L57" s="43">
        <v>40</v>
      </c>
      <c r="M57" s="61">
        <v>22</v>
      </c>
      <c r="N57" s="6">
        <f>5+13*0.7</f>
        <v>14.1</v>
      </c>
      <c r="P57" s="41"/>
    </row>
    <row r="58" spans="1:16">
      <c r="A58" s="2" t="s">
        <v>102</v>
      </c>
      <c r="B58" s="2"/>
      <c r="C58" s="4" t="s">
        <v>103</v>
      </c>
      <c r="D58" s="4"/>
      <c r="E58" s="4">
        <v>44110</v>
      </c>
      <c r="F58" s="5" t="s">
        <v>160</v>
      </c>
      <c r="G58" s="49">
        <v>10</v>
      </c>
      <c r="H58" s="5">
        <v>36.65</v>
      </c>
      <c r="I58" s="5">
        <f>115/30*26</f>
        <v>99.666666666666671</v>
      </c>
      <c r="J58" s="5"/>
      <c r="K58" s="5"/>
      <c r="L58" s="6">
        <v>180</v>
      </c>
      <c r="M58" s="61">
        <v>115</v>
      </c>
      <c r="N58" s="6">
        <f>10+55*0.7</f>
        <v>48.5</v>
      </c>
      <c r="P58" s="41"/>
    </row>
    <row r="59" spans="1:16">
      <c r="A59" s="2" t="s">
        <v>94</v>
      </c>
      <c r="B59" s="2"/>
      <c r="C59" s="35">
        <v>44124</v>
      </c>
      <c r="D59" s="35"/>
      <c r="E59" s="35">
        <v>44124</v>
      </c>
      <c r="F59" s="5"/>
      <c r="G59" s="49"/>
      <c r="H59" s="5">
        <v>7.25</v>
      </c>
      <c r="I59" s="5">
        <v>0</v>
      </c>
      <c r="J59" s="5"/>
      <c r="K59" s="5"/>
      <c r="L59" s="6">
        <v>25</v>
      </c>
      <c r="M59" s="61">
        <v>11</v>
      </c>
      <c r="N59" s="6">
        <f>(L59-M59)*0.7</f>
        <v>9.7999999999999989</v>
      </c>
    </row>
    <row r="60" spans="1:16">
      <c r="A60" s="2" t="s">
        <v>100</v>
      </c>
      <c r="B60" s="2"/>
      <c r="C60" s="4">
        <v>44018</v>
      </c>
      <c r="D60" s="4"/>
      <c r="E60" s="4">
        <v>44124</v>
      </c>
      <c r="F60" s="40"/>
      <c r="G60" s="2"/>
      <c r="H60" s="5">
        <v>9.5</v>
      </c>
      <c r="I60" s="5">
        <f>25/30*104</f>
        <v>86.666666666666671</v>
      </c>
      <c r="J60" s="5"/>
      <c r="K60" s="5"/>
      <c r="L60" s="6">
        <v>70</v>
      </c>
      <c r="M60" s="61">
        <v>25</v>
      </c>
      <c r="N60" s="6">
        <f>(L60-M60)*0.7</f>
        <v>31.499999999999996</v>
      </c>
    </row>
    <row r="61" spans="1:16">
      <c r="A61" s="2" t="s">
        <v>101</v>
      </c>
      <c r="B61" s="2"/>
      <c r="C61" s="4">
        <v>44070</v>
      </c>
      <c r="D61" s="4"/>
      <c r="E61" s="4">
        <v>44131</v>
      </c>
      <c r="F61" s="40"/>
      <c r="G61" s="2"/>
      <c r="H61" s="5">
        <v>13.93</v>
      </c>
      <c r="I61" s="5">
        <f>71/30*60</f>
        <v>142</v>
      </c>
      <c r="J61" s="5"/>
      <c r="K61" s="5"/>
      <c r="L61" s="6">
        <v>120</v>
      </c>
      <c r="M61" s="61">
        <f>60+11</f>
        <v>71</v>
      </c>
      <c r="N61" s="6">
        <f>(L61-M61)*0.7</f>
        <v>34.299999999999997</v>
      </c>
    </row>
    <row r="62" spans="1:16">
      <c r="A62" s="22" t="s">
        <v>104</v>
      </c>
      <c r="B62" s="22"/>
      <c r="C62" s="4">
        <v>44159</v>
      </c>
      <c r="D62" s="4"/>
      <c r="E62" s="4">
        <v>44187</v>
      </c>
      <c r="F62" s="40"/>
      <c r="G62" s="2"/>
      <c r="H62" s="5">
        <v>13.93</v>
      </c>
      <c r="I62" s="5">
        <f>36/30*28</f>
        <v>33.6</v>
      </c>
      <c r="J62" s="5"/>
      <c r="K62" s="5"/>
      <c r="L62" s="6">
        <v>110</v>
      </c>
      <c r="M62" s="61">
        <f>25+11</f>
        <v>36</v>
      </c>
      <c r="N62" s="6">
        <f>(L62-M62)*0.7</f>
        <v>51.8</v>
      </c>
    </row>
    <row r="63" spans="1:16">
      <c r="A63" s="22" t="s">
        <v>120</v>
      </c>
      <c r="B63" s="22"/>
      <c r="C63" s="4">
        <v>44169</v>
      </c>
      <c r="D63" s="4"/>
      <c r="E63" s="4">
        <v>44208</v>
      </c>
      <c r="F63" s="5" t="s">
        <v>160</v>
      </c>
      <c r="G63" s="49">
        <v>10</v>
      </c>
      <c r="H63" s="5"/>
      <c r="I63" s="5">
        <f>41/30*38</f>
        <v>51.933333333333337</v>
      </c>
      <c r="J63" s="5"/>
      <c r="K63" s="5"/>
      <c r="L63" s="6">
        <v>70</v>
      </c>
      <c r="M63" s="61">
        <v>45</v>
      </c>
      <c r="N63" s="5">
        <f>10+(60-45)*0.7</f>
        <v>20.5</v>
      </c>
      <c r="O63" s="1" t="s">
        <v>145</v>
      </c>
    </row>
    <row r="64" spans="1:16">
      <c r="A64" s="22" t="s">
        <v>108</v>
      </c>
      <c r="B64" s="22"/>
      <c r="C64" s="4">
        <v>44185</v>
      </c>
      <c r="D64" s="4"/>
      <c r="E64" s="4">
        <v>44242</v>
      </c>
      <c r="F64" s="5" t="s">
        <v>160</v>
      </c>
      <c r="G64" s="49">
        <v>20</v>
      </c>
      <c r="H64" s="5">
        <v>26.48</v>
      </c>
      <c r="I64" s="5">
        <f>50/30*55</f>
        <v>91.666666666666671</v>
      </c>
      <c r="J64" s="5">
        <v>160</v>
      </c>
      <c r="K64" s="5"/>
      <c r="L64" s="6">
        <v>190</v>
      </c>
      <c r="M64" s="61">
        <v>61</v>
      </c>
      <c r="N64" s="5">
        <f>(20+(170-61)*0.7)</f>
        <v>96.3</v>
      </c>
      <c r="O64" s="1" t="s">
        <v>145</v>
      </c>
    </row>
    <row r="65" spans="1:15">
      <c r="A65" s="22" t="s">
        <v>109</v>
      </c>
      <c r="B65" s="22"/>
      <c r="C65" s="4">
        <v>44209</v>
      </c>
      <c r="D65" s="4"/>
      <c r="E65" s="4">
        <v>44250</v>
      </c>
      <c r="F65" s="5" t="s">
        <v>160</v>
      </c>
      <c r="G65" s="49">
        <v>22.5</v>
      </c>
      <c r="H65" s="5">
        <v>22.83</v>
      </c>
      <c r="I65" s="5">
        <f>100/30*40</f>
        <v>133.33333333333334</v>
      </c>
      <c r="J65" s="5">
        <v>125</v>
      </c>
      <c r="K65" s="5"/>
      <c r="L65" s="6">
        <v>210</v>
      </c>
      <c r="M65" s="61">
        <v>100</v>
      </c>
      <c r="N65" s="6">
        <f>(22.5+87.5*0.7)</f>
        <v>83.75</v>
      </c>
    </row>
    <row r="66" spans="1:15">
      <c r="A66" s="2" t="s">
        <v>113</v>
      </c>
      <c r="B66" s="2"/>
      <c r="C66" s="4">
        <v>44245</v>
      </c>
      <c r="D66" s="4"/>
      <c r="E66" s="4">
        <v>44271</v>
      </c>
      <c r="F66" s="5" t="s">
        <v>160</v>
      </c>
      <c r="G66" s="49">
        <v>15</v>
      </c>
      <c r="H66" s="5">
        <v>26.76</v>
      </c>
      <c r="I66" s="5">
        <f>67/30*28</f>
        <v>62.533333333333331</v>
      </c>
      <c r="J66" s="5"/>
      <c r="K66" s="5"/>
      <c r="L66" s="6">
        <v>140</v>
      </c>
      <c r="M66" s="61">
        <v>67</v>
      </c>
      <c r="N66" s="6">
        <f>(15+0.7*58)</f>
        <v>55.599999999999994</v>
      </c>
    </row>
    <row r="67" spans="1:15">
      <c r="A67" s="2" t="s">
        <v>114</v>
      </c>
      <c r="B67" s="2"/>
      <c r="C67" s="4">
        <v>44222</v>
      </c>
      <c r="D67" s="4"/>
      <c r="E67" s="4">
        <v>44279</v>
      </c>
      <c r="F67" s="5" t="s">
        <v>160</v>
      </c>
      <c r="G67" s="49">
        <v>12.5</v>
      </c>
      <c r="H67" s="5">
        <v>13.4</v>
      </c>
      <c r="I67" s="5">
        <f>56/30*58</f>
        <v>108.26666666666667</v>
      </c>
      <c r="J67" s="5">
        <v>100</v>
      </c>
      <c r="K67" s="5"/>
      <c r="L67" s="6">
        <v>140</v>
      </c>
      <c r="M67" s="61">
        <v>56</v>
      </c>
      <c r="N67" s="5">
        <f>(12.5+71.5*0.7)</f>
        <v>62.55</v>
      </c>
      <c r="O67" s="1" t="s">
        <v>145</v>
      </c>
    </row>
    <row r="68" spans="1:15">
      <c r="A68" s="2" t="s">
        <v>112</v>
      </c>
      <c r="B68" s="2"/>
      <c r="C68" s="4">
        <v>44270</v>
      </c>
      <c r="D68" s="4"/>
      <c r="E68" s="4">
        <v>44286</v>
      </c>
      <c r="F68" s="5" t="s">
        <v>160</v>
      </c>
      <c r="G68" s="49">
        <v>17.5</v>
      </c>
      <c r="H68" s="5">
        <v>31.96</v>
      </c>
      <c r="I68" s="5">
        <f>55/30*16</f>
        <v>29.333333333333332</v>
      </c>
      <c r="J68" s="5">
        <v>75</v>
      </c>
      <c r="K68" s="5"/>
      <c r="L68" s="6">
        <v>100</v>
      </c>
      <c r="M68" s="61">
        <v>55</v>
      </c>
      <c r="N68" s="6">
        <f>(17.5+27.5*0.7)</f>
        <v>36.75</v>
      </c>
    </row>
    <row r="69" spans="1:15">
      <c r="A69" s="2" t="s">
        <v>119</v>
      </c>
      <c r="B69" s="2"/>
      <c r="C69" s="4">
        <v>44281</v>
      </c>
      <c r="D69" s="4"/>
      <c r="E69" s="4">
        <v>44316</v>
      </c>
      <c r="F69" s="40"/>
      <c r="G69" s="2"/>
      <c r="H69" s="5">
        <v>14.26</v>
      </c>
      <c r="I69" s="5">
        <f>45/30*34</f>
        <v>51</v>
      </c>
      <c r="J69" s="5"/>
      <c r="K69" s="5"/>
      <c r="L69" s="6">
        <v>110</v>
      </c>
      <c r="M69" s="61">
        <v>45</v>
      </c>
      <c r="N69" s="6">
        <f>(65*0.7)</f>
        <v>45.5</v>
      </c>
    </row>
    <row r="70" spans="1:15">
      <c r="A70" s="22" t="s">
        <v>121</v>
      </c>
      <c r="B70" s="22"/>
      <c r="C70" s="4">
        <v>44316</v>
      </c>
      <c r="D70" s="4"/>
      <c r="E70" s="4">
        <v>44354</v>
      </c>
      <c r="F70" s="40"/>
      <c r="G70" s="2"/>
      <c r="H70" s="5">
        <v>15.15</v>
      </c>
      <c r="I70" s="5">
        <f>36/30*37</f>
        <v>44.4</v>
      </c>
      <c r="J70" s="5"/>
      <c r="K70" s="5"/>
      <c r="L70" s="6">
        <v>110</v>
      </c>
      <c r="M70" s="61">
        <v>36</v>
      </c>
      <c r="N70" s="5">
        <f>(L70-M70)*0.7</f>
        <v>51.8</v>
      </c>
      <c r="O70" s="1" t="s">
        <v>145</v>
      </c>
    </row>
    <row r="71" spans="1:15">
      <c r="A71" s="22" t="s">
        <v>126</v>
      </c>
      <c r="B71" s="22"/>
      <c r="C71" s="4">
        <v>44336</v>
      </c>
      <c r="D71" s="4"/>
      <c r="E71" s="4">
        <v>44370</v>
      </c>
      <c r="F71" s="5" t="s">
        <v>161</v>
      </c>
      <c r="G71" s="49">
        <v>17.5</v>
      </c>
      <c r="H71" s="5">
        <v>35.78</v>
      </c>
      <c r="I71" s="5">
        <f>58/30*33</f>
        <v>63.8</v>
      </c>
      <c r="J71" s="5">
        <v>50</v>
      </c>
      <c r="K71" s="5"/>
      <c r="L71" s="6">
        <v>150</v>
      </c>
      <c r="M71" s="61">
        <v>58</v>
      </c>
      <c r="N71" s="6">
        <f>(17.5+74.5*0.7)</f>
        <v>69.650000000000006</v>
      </c>
    </row>
    <row r="72" spans="1:15">
      <c r="A72" s="44" t="s">
        <v>125</v>
      </c>
      <c r="B72" s="44"/>
      <c r="C72" s="4">
        <v>44342</v>
      </c>
      <c r="D72" s="4"/>
      <c r="E72" s="4">
        <v>44386</v>
      </c>
      <c r="F72" s="5" t="s">
        <v>160</v>
      </c>
      <c r="G72" s="49">
        <v>12.5</v>
      </c>
      <c r="H72" s="5">
        <v>15.46</v>
      </c>
      <c r="I72" s="5">
        <f>36/30*43</f>
        <v>51.6</v>
      </c>
      <c r="J72" s="5">
        <f>50+45</f>
        <v>95</v>
      </c>
      <c r="K72" s="5"/>
      <c r="L72" s="6">
        <v>80</v>
      </c>
      <c r="M72" s="61">
        <v>33</v>
      </c>
      <c r="N72" s="6">
        <f>12.5+(L72-M72-12.5)*0.7</f>
        <v>36.65</v>
      </c>
    </row>
    <row r="73" spans="1:15">
      <c r="A73" s="44" t="s">
        <v>129</v>
      </c>
      <c r="B73" s="44"/>
      <c r="C73" s="4">
        <v>44348</v>
      </c>
      <c r="D73" s="4"/>
      <c r="E73" s="4">
        <v>44389</v>
      </c>
      <c r="F73" s="5" t="s">
        <v>160</v>
      </c>
      <c r="G73" s="49">
        <v>12.5</v>
      </c>
      <c r="H73" s="5">
        <v>26.22</v>
      </c>
      <c r="I73" s="5">
        <f>71/30*42</f>
        <v>99.4</v>
      </c>
      <c r="J73" s="5">
        <f>50+45</f>
        <v>95</v>
      </c>
      <c r="K73" s="5"/>
      <c r="L73" s="6">
        <v>140</v>
      </c>
      <c r="M73" s="61">
        <v>71</v>
      </c>
      <c r="N73" s="6">
        <f>(12.5+(127.5-71)*0.7)</f>
        <v>52.05</v>
      </c>
    </row>
    <row r="74" spans="1:15">
      <c r="A74" s="44" t="s">
        <v>124</v>
      </c>
      <c r="B74" s="44"/>
      <c r="C74" s="4">
        <v>44348</v>
      </c>
      <c r="D74" s="4"/>
      <c r="E74" s="4">
        <v>44389</v>
      </c>
      <c r="F74" s="40"/>
      <c r="G74" s="2"/>
      <c r="H74" s="5">
        <v>11.62</v>
      </c>
      <c r="I74" s="5">
        <f>26/30*42</f>
        <v>36.4</v>
      </c>
      <c r="J74" s="5">
        <v>65</v>
      </c>
      <c r="K74" s="5"/>
      <c r="L74" s="6">
        <v>70</v>
      </c>
      <c r="M74" s="61">
        <v>26</v>
      </c>
      <c r="N74" s="6">
        <f>(70-26)*0.7</f>
        <v>30.799999999999997</v>
      </c>
    </row>
    <row r="75" spans="1:15">
      <c r="A75" s="44" t="s">
        <v>132</v>
      </c>
      <c r="B75" s="44"/>
      <c r="C75" s="4">
        <v>44407</v>
      </c>
      <c r="D75" s="4"/>
      <c r="E75" s="4">
        <v>44461</v>
      </c>
      <c r="F75" s="40"/>
      <c r="G75" s="2"/>
      <c r="H75" s="5">
        <v>9.8800000000000008</v>
      </c>
      <c r="I75" s="5">
        <f>25/30*52</f>
        <v>43.333333333333336</v>
      </c>
      <c r="J75" s="5"/>
      <c r="K75" s="5"/>
      <c r="L75" s="6">
        <v>70</v>
      </c>
      <c r="M75" s="61">
        <v>25</v>
      </c>
      <c r="N75" s="6">
        <f>45*0.7</f>
        <v>31.499999999999996</v>
      </c>
    </row>
    <row r="76" spans="1:15">
      <c r="A76" s="44" t="s">
        <v>133</v>
      </c>
      <c r="B76" s="44"/>
      <c r="C76" s="4">
        <v>44432</v>
      </c>
      <c r="D76" s="4"/>
      <c r="E76" s="4">
        <v>44467</v>
      </c>
      <c r="F76" s="40"/>
      <c r="G76" s="2"/>
      <c r="H76" s="5">
        <v>9.8800000000000008</v>
      </c>
      <c r="I76" s="5">
        <f>25/30*34</f>
        <v>28.333333333333336</v>
      </c>
      <c r="J76" s="5"/>
      <c r="K76" s="5"/>
      <c r="L76" s="6">
        <v>70</v>
      </c>
      <c r="M76" s="61">
        <v>25</v>
      </c>
      <c r="N76" s="6">
        <f>45*0.7</f>
        <v>31.499999999999996</v>
      </c>
    </row>
    <row r="77" spans="1:15">
      <c r="A77" s="52" t="s">
        <v>141</v>
      </c>
      <c r="B77" s="52"/>
      <c r="C77" s="57">
        <v>44459</v>
      </c>
      <c r="D77" s="57"/>
      <c r="E77" s="57">
        <v>44481</v>
      </c>
      <c r="F77" s="10" t="s">
        <v>161</v>
      </c>
      <c r="G77" s="12">
        <v>10</v>
      </c>
      <c r="H77" s="25">
        <v>15.15</v>
      </c>
      <c r="I77" s="25">
        <f>46/30*22</f>
        <v>33.733333333333334</v>
      </c>
      <c r="J77" s="25">
        <v>80</v>
      </c>
      <c r="K77" s="25"/>
      <c r="L77" s="27">
        <v>120</v>
      </c>
      <c r="M77" s="64">
        <v>46</v>
      </c>
      <c r="N77" s="27">
        <f>10+(120-56)*0.7</f>
        <v>54.8</v>
      </c>
    </row>
    <row r="78" spans="1:15">
      <c r="A78" s="52" t="s">
        <v>140</v>
      </c>
      <c r="B78" s="52"/>
      <c r="C78" s="57">
        <v>44449</v>
      </c>
      <c r="D78" s="57"/>
      <c r="E78" s="57">
        <v>44482</v>
      </c>
      <c r="F78" s="25" t="s">
        <v>160</v>
      </c>
      <c r="G78" s="58">
        <v>10</v>
      </c>
      <c r="H78" s="25">
        <v>13.4</v>
      </c>
      <c r="I78" s="25">
        <f>60/30*33</f>
        <v>66</v>
      </c>
      <c r="J78" s="25">
        <v>80</v>
      </c>
      <c r="K78" s="25"/>
      <c r="L78" s="27">
        <v>120</v>
      </c>
      <c r="M78" s="64">
        <v>61</v>
      </c>
      <c r="N78" s="27">
        <f>(10+49*0.7)</f>
        <v>44.3</v>
      </c>
    </row>
    <row r="79" spans="1:15">
      <c r="A79" s="44" t="s">
        <v>137</v>
      </c>
      <c r="B79" s="44"/>
      <c r="C79" s="35">
        <v>44474</v>
      </c>
      <c r="D79" s="35"/>
      <c r="E79" s="35">
        <v>44487</v>
      </c>
      <c r="F79" s="10" t="s">
        <v>161</v>
      </c>
      <c r="G79" s="12">
        <v>12.5</v>
      </c>
      <c r="H79" s="5">
        <v>15.15</v>
      </c>
      <c r="I79" s="5">
        <f>71/30*13</f>
        <v>30.766666666666666</v>
      </c>
      <c r="J79" s="5">
        <v>95</v>
      </c>
      <c r="K79" s="5"/>
      <c r="L79" s="6">
        <v>140</v>
      </c>
      <c r="M79" s="61">
        <v>71</v>
      </c>
      <c r="N79" s="6">
        <f>12.5+(56.5)*0.7</f>
        <v>52.05</v>
      </c>
    </row>
    <row r="80" spans="1:15">
      <c r="A80" s="44" t="s">
        <v>143</v>
      </c>
      <c r="B80" s="44"/>
      <c r="C80" s="35">
        <v>43717</v>
      </c>
      <c r="D80" s="35"/>
      <c r="E80" s="35">
        <v>44505</v>
      </c>
      <c r="F80" s="40"/>
      <c r="G80" s="49"/>
      <c r="H80" s="5">
        <v>13.4</v>
      </c>
      <c r="I80" s="5">
        <f>36*25+36/30*26</f>
        <v>931.2</v>
      </c>
      <c r="J80" s="5"/>
      <c r="K80" s="5"/>
      <c r="L80" s="6">
        <v>100</v>
      </c>
      <c r="M80" s="61">
        <v>36</v>
      </c>
      <c r="N80" s="6">
        <f>(100-36)*0.7</f>
        <v>44.8</v>
      </c>
    </row>
    <row r="81" spans="1:14">
      <c r="A81" s="44" t="s">
        <v>139</v>
      </c>
      <c r="B81" s="44"/>
      <c r="C81" s="35">
        <v>44492</v>
      </c>
      <c r="D81" s="35"/>
      <c r="E81" s="35">
        <v>44539</v>
      </c>
      <c r="F81" s="40"/>
      <c r="G81" s="49"/>
      <c r="H81" s="5">
        <v>16.350000000000001</v>
      </c>
      <c r="I81" s="5">
        <f>71/30*46</f>
        <v>108.86666666666667</v>
      </c>
      <c r="J81" s="5">
        <v>95</v>
      </c>
      <c r="K81" s="5"/>
      <c r="L81" s="6">
        <v>140</v>
      </c>
      <c r="M81" s="61">
        <v>71</v>
      </c>
      <c r="N81" s="6">
        <f>(140-71)*0.7/30*21</f>
        <v>33.809999999999995</v>
      </c>
    </row>
    <row r="82" spans="1:14">
      <c r="A82" s="44" t="s">
        <v>144</v>
      </c>
      <c r="B82" s="44"/>
      <c r="C82" s="35">
        <v>44526</v>
      </c>
      <c r="D82" s="35"/>
      <c r="E82" s="35">
        <v>44550</v>
      </c>
      <c r="F82" s="5" t="s">
        <v>160</v>
      </c>
      <c r="G82" s="49">
        <v>12.5</v>
      </c>
      <c r="H82" s="5">
        <v>13.4</v>
      </c>
      <c r="I82" s="5">
        <f>83/30*24</f>
        <v>66.400000000000006</v>
      </c>
      <c r="J82" s="5"/>
      <c r="K82" s="5"/>
      <c r="L82" s="6">
        <v>160</v>
      </c>
      <c r="M82" s="61">
        <v>94</v>
      </c>
      <c r="N82" s="6">
        <f>15+(160-15-94)*0.7/30*10</f>
        <v>26.9</v>
      </c>
    </row>
    <row r="83" spans="1:14">
      <c r="A83" s="44" t="s">
        <v>149</v>
      </c>
      <c r="B83" s="44"/>
      <c r="C83" s="35">
        <v>44880</v>
      </c>
      <c r="D83" s="35"/>
      <c r="E83" s="35">
        <v>44575</v>
      </c>
      <c r="F83" s="40"/>
      <c r="G83" s="49"/>
      <c r="H83" s="5">
        <v>13.4</v>
      </c>
      <c r="I83" s="5"/>
      <c r="J83" s="5">
        <v>50</v>
      </c>
      <c r="K83" s="5"/>
      <c r="L83" s="6">
        <v>140</v>
      </c>
      <c r="M83" s="61">
        <f>71</f>
        <v>71</v>
      </c>
      <c r="N83" s="6">
        <f>(140-71)*0.7</f>
        <v>48.3</v>
      </c>
    </row>
    <row r="84" spans="1:14">
      <c r="A84" s="44" t="s">
        <v>146</v>
      </c>
      <c r="B84" s="44"/>
      <c r="C84" s="4">
        <v>44586</v>
      </c>
      <c r="D84" s="4"/>
      <c r="E84" s="4">
        <v>44615</v>
      </c>
      <c r="F84" s="10" t="s">
        <v>161</v>
      </c>
      <c r="G84" s="12">
        <v>12.5</v>
      </c>
      <c r="H84" s="5">
        <v>15.46</v>
      </c>
      <c r="I84" s="5">
        <f>27/30*28</f>
        <v>25.2</v>
      </c>
      <c r="J84" s="5">
        <v>110</v>
      </c>
      <c r="K84" s="5"/>
      <c r="L84" s="6">
        <v>124</v>
      </c>
      <c r="M84" s="61">
        <v>51</v>
      </c>
      <c r="N84" s="6">
        <f>12.5+(124-63.5)*0.7</f>
        <v>54.849999999999994</v>
      </c>
    </row>
    <row r="85" spans="1:14">
      <c r="A85" s="44" t="s">
        <v>148</v>
      </c>
      <c r="B85" s="44"/>
      <c r="C85" s="4">
        <v>44579</v>
      </c>
      <c r="D85" s="4"/>
      <c r="E85" s="4">
        <v>44594</v>
      </c>
      <c r="F85" s="40"/>
      <c r="G85" s="49"/>
      <c r="H85" s="5">
        <v>13.4</v>
      </c>
      <c r="I85" s="5">
        <f>22/30*14</f>
        <v>10.266666666666666</v>
      </c>
      <c r="J85" s="5">
        <v>30</v>
      </c>
      <c r="K85" s="5"/>
      <c r="L85" s="6">
        <v>50</v>
      </c>
      <c r="M85" s="61">
        <v>22</v>
      </c>
      <c r="N85" s="6">
        <f>(50-22)*0.7</f>
        <v>19.599999999999998</v>
      </c>
    </row>
    <row r="86" spans="1:14">
      <c r="A86" s="44" t="s">
        <v>150</v>
      </c>
      <c r="B86" s="44"/>
      <c r="C86" s="4">
        <v>44899</v>
      </c>
      <c r="D86" s="4"/>
      <c r="E86" s="4">
        <v>44607</v>
      </c>
      <c r="F86" s="12" t="s">
        <v>160</v>
      </c>
      <c r="G86" s="12">
        <v>12.5</v>
      </c>
      <c r="H86" s="5">
        <v>13.4</v>
      </c>
      <c r="I86" s="5">
        <f>71/30*61</f>
        <v>144.36666666666667</v>
      </c>
      <c r="J86" s="5">
        <v>80</v>
      </c>
      <c r="K86" s="5"/>
      <c r="L86" s="6">
        <v>120</v>
      </c>
      <c r="M86" s="61">
        <v>60</v>
      </c>
      <c r="N86" s="6">
        <f>12.5+(120-72.5)*0.7</f>
        <v>45.75</v>
      </c>
    </row>
    <row r="87" spans="1:14">
      <c r="A87" s="44" t="s">
        <v>151</v>
      </c>
      <c r="B87" s="44"/>
      <c r="C87" s="4">
        <v>44926</v>
      </c>
      <c r="D87" s="4"/>
      <c r="E87" s="4">
        <v>44649</v>
      </c>
      <c r="F87" s="40"/>
      <c r="G87" s="40"/>
      <c r="H87" s="5">
        <v>9.0299999999999994</v>
      </c>
      <c r="I87" s="5">
        <f>25*2+25/30*29</f>
        <v>74.166666666666671</v>
      </c>
      <c r="J87" s="5">
        <v>80</v>
      </c>
      <c r="K87" s="5"/>
      <c r="L87" s="6">
        <v>67.5</v>
      </c>
      <c r="M87" s="61">
        <v>25</v>
      </c>
      <c r="N87" s="6">
        <f>(67.5-25)*0.7</f>
        <v>29.749999999999996</v>
      </c>
    </row>
    <row r="88" spans="1:14">
      <c r="A88" s="44" t="s">
        <v>152</v>
      </c>
      <c r="B88" s="44"/>
      <c r="C88" s="4">
        <v>44852</v>
      </c>
      <c r="D88" s="4"/>
      <c r="E88" s="4">
        <v>44649</v>
      </c>
      <c r="F88" s="40"/>
      <c r="G88" s="40"/>
      <c r="H88" s="5">
        <v>9.0299999999999994</v>
      </c>
      <c r="I88" s="5">
        <f>45*4+45/30*13</f>
        <v>199.5</v>
      </c>
      <c r="J88" s="5">
        <v>80</v>
      </c>
      <c r="K88" s="5"/>
      <c r="L88" s="6">
        <v>67.5</v>
      </c>
      <c r="M88" s="61">
        <v>45</v>
      </c>
      <c r="N88" s="6">
        <f>(L88-M88)*0.7</f>
        <v>15.749999999999998</v>
      </c>
    </row>
    <row r="89" spans="1:14">
      <c r="A89" s="44" t="s">
        <v>153</v>
      </c>
      <c r="B89" s="44"/>
      <c r="C89" s="4">
        <v>44623</v>
      </c>
      <c r="D89" s="4"/>
      <c r="E89" s="4">
        <v>44623</v>
      </c>
      <c r="F89" s="40"/>
      <c r="G89" s="40"/>
      <c r="H89" s="5">
        <v>11.03</v>
      </c>
      <c r="I89" s="5">
        <v>0</v>
      </c>
      <c r="J89" s="5">
        <v>15</v>
      </c>
      <c r="K89" s="5"/>
      <c r="L89" s="6">
        <v>30</v>
      </c>
      <c r="M89" s="61">
        <v>12</v>
      </c>
      <c r="N89" s="6">
        <f>(L89-M89)*0.7</f>
        <v>12.6</v>
      </c>
    </row>
    <row r="90" spans="1:14">
      <c r="A90" s="44" t="s">
        <v>154</v>
      </c>
      <c r="B90" s="44"/>
      <c r="C90" s="4">
        <v>44881</v>
      </c>
      <c r="D90" s="4"/>
      <c r="E90" s="4">
        <v>44628</v>
      </c>
      <c r="F90" s="40"/>
      <c r="G90" s="40"/>
      <c r="H90" s="5">
        <v>9.0299999999999994</v>
      </c>
      <c r="I90" s="5">
        <f>65*3+65/30*22</f>
        <v>242.66666666666666</v>
      </c>
      <c r="J90" s="5">
        <v>95</v>
      </c>
      <c r="K90" s="5"/>
      <c r="L90" s="6">
        <v>112</v>
      </c>
      <c r="M90" s="61">
        <v>65</v>
      </c>
      <c r="N90" s="6">
        <f>(L90-M90)*0.7</f>
        <v>32.9</v>
      </c>
    </row>
    <row r="91" spans="1:14">
      <c r="A91" s="44" t="s">
        <v>155</v>
      </c>
      <c r="B91" s="44"/>
      <c r="C91" s="4">
        <v>44490</v>
      </c>
      <c r="D91" s="4"/>
      <c r="E91" s="4">
        <v>44648</v>
      </c>
      <c r="F91" s="40"/>
      <c r="G91" s="40"/>
      <c r="H91" s="5">
        <v>13.4</v>
      </c>
      <c r="I91" s="5">
        <f>45*5+45/30*7</f>
        <v>235.5</v>
      </c>
      <c r="J91" s="5">
        <v>80</v>
      </c>
      <c r="K91" s="5"/>
      <c r="L91" s="6">
        <v>67.5</v>
      </c>
      <c r="M91" s="61">
        <v>45</v>
      </c>
      <c r="N91" s="6">
        <f>(L91-M91)*0.7</f>
        <v>15.749999999999998</v>
      </c>
    </row>
    <row r="92" spans="1:14">
      <c r="A92" s="44" t="s">
        <v>156</v>
      </c>
      <c r="B92" s="44"/>
      <c r="C92" s="4">
        <v>44489</v>
      </c>
      <c r="D92" s="4"/>
      <c r="E92" s="4">
        <v>44651</v>
      </c>
      <c r="F92" s="40"/>
      <c r="G92" s="40"/>
      <c r="H92" s="5">
        <v>15.46</v>
      </c>
      <c r="I92" s="5">
        <f>50*5+50/10</f>
        <v>255</v>
      </c>
      <c r="J92" s="5">
        <v>145</v>
      </c>
      <c r="K92" s="5"/>
      <c r="L92" s="6">
        <v>125</v>
      </c>
      <c r="M92" s="61">
        <v>50</v>
      </c>
      <c r="N92" s="6">
        <f>(L92-M92)*0.7</f>
        <v>52.5</v>
      </c>
    </row>
    <row r="93" spans="1:14">
      <c r="A93" s="44" t="s">
        <v>157</v>
      </c>
      <c r="B93" s="44"/>
      <c r="C93" s="4">
        <v>44627</v>
      </c>
      <c r="D93" s="4"/>
      <c r="E93" s="4">
        <v>44627</v>
      </c>
      <c r="F93" s="10" t="s">
        <v>161</v>
      </c>
      <c r="G93" s="12">
        <v>10</v>
      </c>
      <c r="H93" s="5">
        <v>15.46</v>
      </c>
      <c r="I93" s="5">
        <v>0</v>
      </c>
      <c r="J93" s="5">
        <v>0</v>
      </c>
      <c r="K93" s="5"/>
      <c r="L93" s="6">
        <v>100</v>
      </c>
      <c r="M93" s="61">
        <v>44</v>
      </c>
      <c r="N93" s="6">
        <f>10+(46)*0.7</f>
        <v>42.199999999999996</v>
      </c>
    </row>
    <row r="94" spans="1:14">
      <c r="A94" s="44" t="s">
        <v>158</v>
      </c>
      <c r="B94" s="44"/>
      <c r="C94" s="4">
        <v>44627</v>
      </c>
      <c r="D94" s="4"/>
      <c r="E94" s="4">
        <v>44627</v>
      </c>
      <c r="F94" s="10" t="s">
        <v>161</v>
      </c>
      <c r="G94" s="12">
        <v>12.5</v>
      </c>
      <c r="H94" s="5">
        <v>15.46</v>
      </c>
      <c r="I94" s="5">
        <v>0</v>
      </c>
      <c r="J94" s="5">
        <v>0</v>
      </c>
      <c r="K94" s="5"/>
      <c r="L94" s="6">
        <v>125</v>
      </c>
      <c r="M94" s="61">
        <v>55</v>
      </c>
      <c r="N94" s="6">
        <f>12.5+(57.5)*0.7</f>
        <v>52.75</v>
      </c>
    </row>
    <row r="95" spans="1:14">
      <c r="A95" s="44" t="s">
        <v>168</v>
      </c>
      <c r="B95" s="44"/>
      <c r="C95" s="4">
        <v>44636</v>
      </c>
      <c r="D95" s="4"/>
      <c r="E95" s="4">
        <v>44659</v>
      </c>
      <c r="F95" s="40"/>
      <c r="G95" s="5"/>
      <c r="H95" s="5">
        <v>13.72</v>
      </c>
      <c r="I95" s="5">
        <f>55/30*24</f>
        <v>44</v>
      </c>
      <c r="J95" s="5">
        <v>80</v>
      </c>
      <c r="K95" s="5"/>
      <c r="L95" s="6">
        <v>120</v>
      </c>
      <c r="M95" s="61">
        <v>55</v>
      </c>
      <c r="N95" s="6">
        <f>10+(110-M95)*0.7</f>
        <v>48.5</v>
      </c>
    </row>
    <row r="96" spans="1:14">
      <c r="A96" s="44" t="s">
        <v>171</v>
      </c>
      <c r="B96" s="44"/>
      <c r="C96" s="4">
        <v>44648</v>
      </c>
      <c r="D96" s="4"/>
      <c r="E96" s="4">
        <v>44734</v>
      </c>
      <c r="F96" s="40"/>
      <c r="G96" s="5"/>
      <c r="H96" s="5">
        <v>13.72</v>
      </c>
      <c r="I96" s="5">
        <f>56/30*84</f>
        <v>156.80000000000001</v>
      </c>
      <c r="J96" s="5">
        <v>95</v>
      </c>
      <c r="K96" s="5"/>
      <c r="L96" s="6">
        <v>140</v>
      </c>
      <c r="M96" s="61">
        <v>56</v>
      </c>
      <c r="N96" s="6">
        <f>(140-56)*0.7</f>
        <v>58.8</v>
      </c>
    </row>
    <row r="97" spans="1:14">
      <c r="A97" s="44" t="s">
        <v>172</v>
      </c>
      <c r="B97" s="44"/>
      <c r="C97" s="4">
        <v>44705</v>
      </c>
      <c r="D97" s="4"/>
      <c r="E97" s="4">
        <v>44715</v>
      </c>
      <c r="F97" s="40"/>
      <c r="G97" s="5"/>
      <c r="H97" s="5">
        <v>10.039999999999999</v>
      </c>
      <c r="I97" s="5">
        <f>25/30*9</f>
        <v>7.5</v>
      </c>
      <c r="J97" s="5"/>
      <c r="K97" s="5"/>
      <c r="L97" s="6">
        <v>50</v>
      </c>
      <c r="M97" s="61">
        <v>25</v>
      </c>
      <c r="N97" s="6">
        <f>(50-25)*0.7</f>
        <v>17.5</v>
      </c>
    </row>
    <row r="98" spans="1:14">
      <c r="A98" s="44" t="s">
        <v>173</v>
      </c>
      <c r="B98" s="44"/>
      <c r="C98" s="4">
        <v>44704</v>
      </c>
      <c r="D98" s="4"/>
      <c r="E98" s="4">
        <v>44721</v>
      </c>
      <c r="F98" s="10" t="s">
        <v>161</v>
      </c>
      <c r="G98" s="56">
        <v>12.5</v>
      </c>
      <c r="H98" s="5">
        <v>13.72</v>
      </c>
      <c r="I98" s="5">
        <f>37/30*16</f>
        <v>19.733333333333334</v>
      </c>
      <c r="J98" s="5">
        <f>50+45</f>
        <v>95</v>
      </c>
      <c r="K98" s="5"/>
      <c r="L98" s="6">
        <v>110</v>
      </c>
      <c r="M98" s="61">
        <v>37</v>
      </c>
      <c r="N98" s="56">
        <f>12.5+(97.5-37)*0.7</f>
        <v>54.849999999999994</v>
      </c>
    </row>
    <row r="99" spans="1:14">
      <c r="A99" s="44" t="s">
        <v>174</v>
      </c>
      <c r="B99" s="44"/>
      <c r="C99" s="4">
        <v>44715</v>
      </c>
      <c r="D99" s="4"/>
      <c r="E99" s="4">
        <v>44820</v>
      </c>
      <c r="F99" s="10" t="s">
        <v>161</v>
      </c>
      <c r="G99" s="56">
        <v>15</v>
      </c>
      <c r="H99" s="5">
        <v>14.6</v>
      </c>
      <c r="I99" s="5">
        <f>56/30*103</f>
        <v>192.26666666666668</v>
      </c>
      <c r="J99" s="5">
        <v>50</v>
      </c>
      <c r="K99" s="5"/>
      <c r="L99" s="6">
        <f>130</f>
        <v>130</v>
      </c>
      <c r="M99" s="61">
        <v>56</v>
      </c>
      <c r="N99" s="56">
        <f>15+(115-56)*0.7</f>
        <v>56.3</v>
      </c>
    </row>
    <row r="100" spans="1:14">
      <c r="A100" s="44" t="s">
        <v>183</v>
      </c>
      <c r="B100" s="44"/>
      <c r="C100" s="4">
        <v>44749</v>
      </c>
      <c r="D100" s="4">
        <v>44830</v>
      </c>
      <c r="E100" s="4">
        <v>44858</v>
      </c>
      <c r="F100" s="40"/>
      <c r="G100" s="5"/>
      <c r="H100" s="5">
        <v>11.03</v>
      </c>
      <c r="I100" s="5">
        <v>25</v>
      </c>
      <c r="J100" s="5">
        <v>15</v>
      </c>
      <c r="K100" s="5"/>
      <c r="L100" s="6">
        <v>80</v>
      </c>
      <c r="M100" s="61">
        <v>25</v>
      </c>
      <c r="N100" s="6">
        <f>55*0.7</f>
        <v>38.5</v>
      </c>
    </row>
    <row r="101" spans="1:14">
      <c r="A101" s="44" t="s">
        <v>184</v>
      </c>
      <c r="B101" s="44"/>
      <c r="C101" s="4">
        <v>44775</v>
      </c>
      <c r="D101" s="4">
        <v>44810</v>
      </c>
      <c r="E101" s="4">
        <v>44848</v>
      </c>
      <c r="F101" s="40"/>
      <c r="G101" s="5"/>
      <c r="H101" s="5">
        <v>23.38</v>
      </c>
      <c r="I101" s="5">
        <f>100/30*38</f>
        <v>126.66666666666667</v>
      </c>
      <c r="J101" s="5">
        <v>155</v>
      </c>
      <c r="K101" s="5"/>
      <c r="L101" s="6">
        <v>220</v>
      </c>
      <c r="M101" s="61">
        <v>100</v>
      </c>
      <c r="N101" s="6">
        <f>(L101-M101)*0.7</f>
        <v>84</v>
      </c>
    </row>
    <row r="102" spans="1:14">
      <c r="A102" s="44" t="s">
        <v>185</v>
      </c>
      <c r="B102" s="44"/>
      <c r="C102" s="4">
        <v>44830</v>
      </c>
      <c r="D102" s="4">
        <v>44852</v>
      </c>
      <c r="E102" s="4">
        <v>44858</v>
      </c>
      <c r="F102" s="10" t="s">
        <v>161</v>
      </c>
      <c r="G102" s="12">
        <v>12.5</v>
      </c>
      <c r="H102" s="5">
        <v>23.38</v>
      </c>
      <c r="I102" s="5">
        <f>54.5/30*6</f>
        <v>10.9</v>
      </c>
      <c r="J102" s="5">
        <v>95</v>
      </c>
      <c r="K102" s="5"/>
      <c r="L102" s="6">
        <v>140</v>
      </c>
      <c r="M102" s="61">
        <v>55.5</v>
      </c>
      <c r="N102" s="6">
        <f>12.5+(127.5-55.5)*0.7</f>
        <v>62.9</v>
      </c>
    </row>
    <row r="103" spans="1:14">
      <c r="A103" s="44" t="s">
        <v>190</v>
      </c>
      <c r="B103" s="44"/>
      <c r="C103" s="4"/>
      <c r="D103" s="4">
        <v>44879</v>
      </c>
      <c r="E103" s="35">
        <v>44887</v>
      </c>
      <c r="F103" s="44" t="s">
        <v>161</v>
      </c>
      <c r="G103" s="56">
        <v>10</v>
      </c>
      <c r="H103" s="5">
        <v>14.6</v>
      </c>
      <c r="I103" s="5">
        <f>34/30*8</f>
        <v>9.0666666666666664</v>
      </c>
      <c r="J103" s="5">
        <v>45</v>
      </c>
      <c r="K103" s="5"/>
      <c r="L103" s="6">
        <v>90</v>
      </c>
      <c r="M103" s="61">
        <v>34</v>
      </c>
      <c r="N103" s="56">
        <f>10+(80-34)*0.7</f>
        <v>42.199999999999996</v>
      </c>
    </row>
    <row r="104" spans="1:14">
      <c r="A104" s="44" t="s">
        <v>193</v>
      </c>
      <c r="B104" s="44"/>
      <c r="C104" s="4">
        <v>44872</v>
      </c>
      <c r="D104" s="4">
        <v>44879</v>
      </c>
      <c r="E104" s="35">
        <v>44882</v>
      </c>
      <c r="F104" s="40"/>
      <c r="G104" s="5"/>
      <c r="H104" s="5">
        <v>10.039999999999999</v>
      </c>
      <c r="I104" s="5">
        <f>25/30*3</f>
        <v>2.5</v>
      </c>
      <c r="J104" s="5"/>
      <c r="K104" s="5"/>
      <c r="L104" s="6">
        <v>40</v>
      </c>
      <c r="M104" s="61">
        <v>25</v>
      </c>
      <c r="N104" s="6">
        <f>(L104-M104)*0.7</f>
        <v>10.5</v>
      </c>
    </row>
    <row r="105" spans="1:14">
      <c r="A105" s="44" t="s">
        <v>213</v>
      </c>
      <c r="B105" s="44"/>
      <c r="C105" s="4">
        <v>44894</v>
      </c>
      <c r="D105" s="4">
        <v>44908</v>
      </c>
      <c r="E105" s="35">
        <v>44944</v>
      </c>
      <c r="F105" s="40" t="s">
        <v>161</v>
      </c>
      <c r="G105" s="5">
        <v>15</v>
      </c>
      <c r="H105" s="5">
        <v>31.72</v>
      </c>
      <c r="I105" s="5">
        <f>50/30*35</f>
        <v>58.333333333333336</v>
      </c>
      <c r="J105" s="5">
        <f>60+50</f>
        <v>110</v>
      </c>
      <c r="K105" s="5"/>
      <c r="L105" s="6">
        <v>130</v>
      </c>
      <c r="M105" s="61">
        <f>19+2+3.5*2+11*2</f>
        <v>50</v>
      </c>
      <c r="N105" s="94">
        <f>15+(L105-M105-15)*0.7</f>
        <v>60.5</v>
      </c>
    </row>
    <row r="106" spans="1:14">
      <c r="A106" s="44" t="s">
        <v>227</v>
      </c>
      <c r="B106" s="44"/>
      <c r="C106" s="4">
        <v>44949</v>
      </c>
      <c r="D106" s="4">
        <v>44953</v>
      </c>
      <c r="E106" s="35">
        <v>44966</v>
      </c>
      <c r="F106" s="40" t="s">
        <v>160</v>
      </c>
      <c r="G106" s="5">
        <v>15</v>
      </c>
      <c r="H106" s="5">
        <v>16.38</v>
      </c>
      <c r="I106" s="5">
        <f>61.5/30*12</f>
        <v>24.599999999999998</v>
      </c>
      <c r="J106" s="5">
        <f>50+60</f>
        <v>110</v>
      </c>
      <c r="K106" s="5"/>
      <c r="L106" s="6">
        <v>160</v>
      </c>
      <c r="M106" s="65">
        <f>32.5+7+22</f>
        <v>61.5</v>
      </c>
      <c r="N106" s="59">
        <f>15+(L106-M106-15)*0.7</f>
        <v>73.449999999999989</v>
      </c>
    </row>
    <row r="107" spans="1:14">
      <c r="A107" s="44" t="s">
        <v>228</v>
      </c>
      <c r="B107" s="44"/>
      <c r="C107" s="4">
        <v>44957</v>
      </c>
      <c r="D107" s="4">
        <v>44957</v>
      </c>
      <c r="E107" s="35">
        <v>44977</v>
      </c>
      <c r="F107" s="40"/>
      <c r="G107" s="5"/>
      <c r="H107" s="5">
        <v>20.61</v>
      </c>
      <c r="I107" s="5">
        <f>66/30*20</f>
        <v>44</v>
      </c>
      <c r="J107" s="5">
        <v>90</v>
      </c>
      <c r="K107" s="5"/>
      <c r="L107" s="6">
        <v>155</v>
      </c>
      <c r="M107" s="65">
        <v>54</v>
      </c>
      <c r="N107" s="59">
        <f>(L107-M107)*0.7</f>
        <v>70.699999999999989</v>
      </c>
    </row>
    <row r="108" spans="1:14">
      <c r="A108" s="44" t="s">
        <v>255</v>
      </c>
      <c r="B108" s="44"/>
      <c r="C108" s="35">
        <v>44691</v>
      </c>
      <c r="D108" s="35">
        <v>44994</v>
      </c>
      <c r="E108" s="4">
        <v>44994</v>
      </c>
      <c r="F108" s="40"/>
      <c r="G108" s="40"/>
      <c r="H108" s="5">
        <v>11.03</v>
      </c>
      <c r="I108" s="40">
        <f>25*14</f>
        <v>350</v>
      </c>
      <c r="J108" s="40">
        <f>30+50</f>
        <v>80</v>
      </c>
      <c r="K108" s="40"/>
      <c r="L108" s="6">
        <v>90</v>
      </c>
      <c r="M108" s="6">
        <v>25</v>
      </c>
      <c r="N108" s="59">
        <f>(L108-M108)*0.7</f>
        <v>45.5</v>
      </c>
    </row>
    <row r="109" spans="1:14">
      <c r="A109" s="44" t="s">
        <v>187</v>
      </c>
      <c r="B109" s="44"/>
      <c r="C109" s="35"/>
      <c r="D109" s="35">
        <v>44991</v>
      </c>
      <c r="E109" s="4">
        <v>44991</v>
      </c>
      <c r="F109" s="40"/>
      <c r="G109" s="40"/>
      <c r="H109" s="5">
        <v>13.31</v>
      </c>
      <c r="I109" s="40"/>
      <c r="J109" s="40">
        <v>45</v>
      </c>
      <c r="K109" s="40"/>
      <c r="L109" s="6">
        <v>80</v>
      </c>
      <c r="M109" s="6">
        <v>27</v>
      </c>
      <c r="N109" s="59">
        <f>(L109-M109)*0.7</f>
        <v>37.099999999999994</v>
      </c>
    </row>
    <row r="110" spans="1:14">
      <c r="A110" s="76" t="s">
        <v>276</v>
      </c>
      <c r="B110" s="44"/>
      <c r="C110" s="35">
        <v>45061</v>
      </c>
      <c r="D110" s="35">
        <v>45070</v>
      </c>
      <c r="E110" s="4"/>
      <c r="F110" s="40"/>
      <c r="G110" s="40"/>
      <c r="H110" s="5">
        <v>11.48</v>
      </c>
      <c r="I110" s="40">
        <f>21/30*9</f>
        <v>6.3</v>
      </c>
      <c r="J110" s="40"/>
      <c r="K110" s="40"/>
      <c r="L110" s="17">
        <f>50</f>
        <v>50</v>
      </c>
      <c r="M110" s="18">
        <v>21</v>
      </c>
      <c r="N110" s="70">
        <f>(50-21)*0.7</f>
        <v>20.299999999999997</v>
      </c>
    </row>
    <row r="111" spans="1:14">
      <c r="A111" s="76" t="s">
        <v>279</v>
      </c>
      <c r="B111" s="44"/>
      <c r="C111" s="35">
        <v>45065</v>
      </c>
      <c r="D111" s="35">
        <v>45070</v>
      </c>
      <c r="E111" s="4"/>
      <c r="F111" s="40"/>
      <c r="G111" s="40"/>
      <c r="H111" s="5">
        <v>11.48</v>
      </c>
      <c r="I111" s="40">
        <f>21/30*5</f>
        <v>3.5</v>
      </c>
      <c r="J111" s="40"/>
      <c r="K111" s="40"/>
      <c r="L111" s="17">
        <f>50</f>
        <v>50</v>
      </c>
      <c r="M111" s="18">
        <v>21</v>
      </c>
      <c r="N111" s="70">
        <f>(50-21)*0.7</f>
        <v>20.299999999999997</v>
      </c>
    </row>
    <row r="112" spans="1:14">
      <c r="A112" s="76" t="s">
        <v>278</v>
      </c>
      <c r="B112" s="44"/>
      <c r="C112" s="35">
        <v>44973</v>
      </c>
      <c r="D112" s="35">
        <v>45070</v>
      </c>
      <c r="E112" s="4"/>
      <c r="F112" s="40"/>
      <c r="G112" s="40"/>
      <c r="H112" s="5">
        <v>11.48</v>
      </c>
      <c r="I112" s="40">
        <f>21/30*98</f>
        <v>68.599999999999994</v>
      </c>
      <c r="J112" s="40"/>
      <c r="K112" s="40"/>
      <c r="L112" s="17">
        <v>50</v>
      </c>
      <c r="M112" s="18">
        <v>21</v>
      </c>
      <c r="N112" s="70">
        <f>(50-21)*0.7</f>
        <v>20.299999999999997</v>
      </c>
    </row>
    <row r="113" spans="1:14">
      <c r="C113" s="36"/>
      <c r="D113" s="36"/>
      <c r="F113" s="28"/>
      <c r="G113" s="28"/>
      <c r="H113" s="30"/>
      <c r="I113" s="28"/>
      <c r="M113" s="68" t="s">
        <v>4</v>
      </c>
      <c r="N113" s="18">
        <f>SUM(N2:N112)</f>
        <v>4202.0100000000011</v>
      </c>
    </row>
    <row r="114" spans="1:14">
      <c r="C114" s="36"/>
      <c r="D114" s="36"/>
      <c r="F114" s="28"/>
      <c r="G114" s="28"/>
      <c r="H114" s="30"/>
      <c r="I114" s="28"/>
      <c r="M114" s="66" t="s">
        <v>251</v>
      </c>
      <c r="N114" s="1">
        <f>N113-446.87</f>
        <v>3755.1400000000012</v>
      </c>
    </row>
    <row r="115" spans="1:14">
      <c r="C115" s="36"/>
      <c r="D115" s="36"/>
      <c r="F115" s="28"/>
      <c r="G115" s="28"/>
      <c r="H115" s="30"/>
      <c r="I115" s="28"/>
    </row>
    <row r="117" spans="1:14">
      <c r="A117" s="28"/>
      <c r="B117" s="28"/>
      <c r="E117" s="15"/>
      <c r="F117" s="1"/>
      <c r="G117" s="1"/>
      <c r="H117" s="1"/>
      <c r="I117" s="1"/>
      <c r="J117" s="1"/>
      <c r="K117" s="1"/>
      <c r="L117" s="1"/>
      <c r="M117" s="67"/>
      <c r="N117" s="29"/>
    </row>
    <row r="119" spans="1:14">
      <c r="H119" s="30"/>
    </row>
    <row r="120" spans="1:14">
      <c r="I120" s="42"/>
    </row>
    <row r="122" spans="1:14">
      <c r="L122" t="s">
        <v>280</v>
      </c>
      <c r="M122" s="66">
        <v>11.87</v>
      </c>
      <c r="N122">
        <v>435</v>
      </c>
    </row>
  </sheetData>
  <autoFilter ref="A1:P116">
    <sortState ref="A2:P107">
      <sortCondition ref="B1:B107"/>
    </sortState>
  </autoFilter>
  <pageMargins left="0.7" right="0.7" top="0.75" bottom="0.75" header="0.3" footer="0.3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>
  <dimension ref="A1:S123"/>
  <sheetViews>
    <sheetView topLeftCell="A101" workbookViewId="0">
      <selection activeCell="A112" sqref="A112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5" max="11" width="11.42578125" customWidth="1"/>
    <col min="13" max="13" width="10.85546875" style="66"/>
    <col min="15" max="15" width="71.28515625" bestFit="1" customWidth="1"/>
  </cols>
  <sheetData>
    <row r="1" spans="1:18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3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307</v>
      </c>
      <c r="P1" s="14" t="s">
        <v>308</v>
      </c>
      <c r="Q1" s="14" t="s">
        <v>309</v>
      </c>
      <c r="R1" s="14" t="s">
        <v>310</v>
      </c>
    </row>
    <row r="2" spans="1:18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5"/>
      <c r="J2" s="5"/>
      <c r="K2" s="5">
        <f>F2+H2+J2</f>
        <v>10</v>
      </c>
      <c r="L2" s="6">
        <v>40</v>
      </c>
      <c r="M2" s="61">
        <v>25</v>
      </c>
      <c r="N2" s="56">
        <f t="shared" ref="N2:N34" si="0">(L2-M2)*0.7</f>
        <v>10.5</v>
      </c>
    </row>
    <row r="3" spans="1:18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5"/>
      <c r="J3" s="5"/>
      <c r="K3" s="5"/>
      <c r="L3" s="6">
        <v>90</v>
      </c>
      <c r="M3" s="61">
        <v>25</v>
      </c>
      <c r="N3" s="56">
        <f t="shared" si="0"/>
        <v>45.5</v>
      </c>
    </row>
    <row r="4" spans="1:18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5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56">
        <f t="shared" si="0"/>
        <v>10.5</v>
      </c>
    </row>
    <row r="5" spans="1:18">
      <c r="A5" s="9" t="s">
        <v>18</v>
      </c>
      <c r="B5" s="9"/>
      <c r="C5" s="2"/>
      <c r="D5" s="2"/>
      <c r="E5" s="4">
        <v>42335</v>
      </c>
      <c r="F5" s="5"/>
      <c r="G5" s="49"/>
      <c r="H5" s="5"/>
      <c r="I5" s="5"/>
      <c r="J5" s="5"/>
      <c r="K5" s="5"/>
      <c r="L5" s="6">
        <v>90</v>
      </c>
      <c r="M5" s="61">
        <v>25</v>
      </c>
      <c r="N5" s="56">
        <f t="shared" si="0"/>
        <v>45.5</v>
      </c>
    </row>
    <row r="6" spans="1:18">
      <c r="A6" s="2" t="s">
        <v>16</v>
      </c>
      <c r="B6" s="2"/>
      <c r="C6" s="2"/>
      <c r="D6" s="2"/>
      <c r="E6" s="4">
        <v>42396</v>
      </c>
      <c r="F6" s="5"/>
      <c r="G6" s="49"/>
      <c r="H6" s="5"/>
      <c r="I6" s="5"/>
      <c r="J6" s="5"/>
      <c r="K6" s="5"/>
      <c r="L6" s="6">
        <v>50</v>
      </c>
      <c r="M6" s="61">
        <v>22</v>
      </c>
      <c r="N6" s="56">
        <f t="shared" si="0"/>
        <v>19.599999999999998</v>
      </c>
    </row>
    <row r="7" spans="1:18">
      <c r="A7" s="2" t="s">
        <v>22</v>
      </c>
      <c r="B7" s="2"/>
      <c r="C7" s="4">
        <v>42546</v>
      </c>
      <c r="D7" s="4"/>
      <c r="E7" s="4">
        <v>42571</v>
      </c>
      <c r="F7" s="5"/>
      <c r="G7" s="49"/>
      <c r="H7" s="5">
        <f>6.9+8.5</f>
        <v>15.4</v>
      </c>
      <c r="I7" s="5">
        <f>25*25/30</f>
        <v>20.833333333333332</v>
      </c>
      <c r="J7" s="5"/>
      <c r="K7" s="5"/>
      <c r="L7" s="6">
        <v>120</v>
      </c>
      <c r="M7" s="61">
        <v>25</v>
      </c>
      <c r="N7" s="56">
        <f t="shared" si="0"/>
        <v>66.5</v>
      </c>
    </row>
    <row r="8" spans="1:18">
      <c r="A8" s="2" t="s">
        <v>23</v>
      </c>
      <c r="B8" s="2"/>
      <c r="C8" s="4">
        <v>42560</v>
      </c>
      <c r="D8" s="4"/>
      <c r="E8" s="4">
        <v>42571</v>
      </c>
      <c r="F8" s="5"/>
      <c r="G8" s="49"/>
      <c r="H8" s="5">
        <v>8.5</v>
      </c>
      <c r="I8" s="5">
        <f>25*41/30</f>
        <v>34.166666666666664</v>
      </c>
      <c r="J8" s="5"/>
      <c r="K8" s="5"/>
      <c r="L8" s="6">
        <v>107.5</v>
      </c>
      <c r="M8" s="61">
        <v>25</v>
      </c>
      <c r="N8" s="56">
        <f t="shared" si="0"/>
        <v>57.749999999999993</v>
      </c>
    </row>
    <row r="9" spans="1:18">
      <c r="A9" s="2" t="s">
        <v>24</v>
      </c>
      <c r="B9" s="2"/>
      <c r="C9" s="4">
        <v>42530</v>
      </c>
      <c r="D9" s="4"/>
      <c r="E9" s="4">
        <v>42579</v>
      </c>
      <c r="F9" s="5"/>
      <c r="G9" s="49"/>
      <c r="H9" s="5">
        <f>8.5+6.9</f>
        <v>15.4</v>
      </c>
      <c r="I9" s="5">
        <f>25*52/30</f>
        <v>43.333333333333336</v>
      </c>
      <c r="J9" s="5"/>
      <c r="K9" s="5"/>
      <c r="L9" s="6">
        <v>90</v>
      </c>
      <c r="M9" s="61">
        <v>25</v>
      </c>
      <c r="N9" s="56">
        <f t="shared" si="0"/>
        <v>45.5</v>
      </c>
    </row>
    <row r="10" spans="1:18">
      <c r="A10" s="2" t="s">
        <v>26</v>
      </c>
      <c r="B10" s="2"/>
      <c r="C10" s="4">
        <v>42633</v>
      </c>
      <c r="D10" s="4"/>
      <c r="E10" s="4">
        <v>42644</v>
      </c>
      <c r="F10" s="5"/>
      <c r="G10" s="49"/>
      <c r="H10" s="5">
        <v>8.17</v>
      </c>
      <c r="I10" s="5">
        <f>25/30*10</f>
        <v>8.3333333333333339</v>
      </c>
      <c r="J10" s="5"/>
      <c r="K10" s="5"/>
      <c r="L10" s="6">
        <v>70</v>
      </c>
      <c r="M10" s="61">
        <v>25</v>
      </c>
      <c r="N10" s="56">
        <f t="shared" si="0"/>
        <v>31.499999999999996</v>
      </c>
    </row>
    <row r="11" spans="1:18">
      <c r="A11" s="2" t="s">
        <v>27</v>
      </c>
      <c r="B11" s="2"/>
      <c r="C11" s="4">
        <v>42656</v>
      </c>
      <c r="D11" s="4"/>
      <c r="E11" s="4">
        <v>42705</v>
      </c>
      <c r="F11" s="5"/>
      <c r="G11" s="49"/>
      <c r="H11" s="5">
        <v>8.17</v>
      </c>
      <c r="I11" s="5">
        <f>M11/30*47</f>
        <v>39.166666666666671</v>
      </c>
      <c r="J11" s="5"/>
      <c r="K11" s="5"/>
      <c r="L11" s="6">
        <v>40</v>
      </c>
      <c r="M11" s="62">
        <v>25</v>
      </c>
      <c r="N11" s="84">
        <f t="shared" si="0"/>
        <v>10.5</v>
      </c>
    </row>
    <row r="12" spans="1:18">
      <c r="A12" s="2" t="s">
        <v>29</v>
      </c>
      <c r="B12" s="2"/>
      <c r="C12" s="4">
        <v>42683</v>
      </c>
      <c r="D12" s="4"/>
      <c r="E12" s="4">
        <v>42718</v>
      </c>
      <c r="F12" s="5"/>
      <c r="G12" s="49"/>
      <c r="H12" s="5">
        <v>8.9700000000000006</v>
      </c>
      <c r="I12" s="5">
        <f>M12/30*35</f>
        <v>42</v>
      </c>
      <c r="J12" s="5"/>
      <c r="K12" s="5"/>
      <c r="L12" s="6">
        <f>105</f>
        <v>105</v>
      </c>
      <c r="M12" s="62">
        <v>36</v>
      </c>
      <c r="N12" s="84">
        <f t="shared" si="0"/>
        <v>48.3</v>
      </c>
    </row>
    <row r="13" spans="1:18">
      <c r="A13" s="2" t="s">
        <v>28</v>
      </c>
      <c r="B13" s="2"/>
      <c r="C13" s="4">
        <v>42711</v>
      </c>
      <c r="D13" s="4"/>
      <c r="E13" s="4">
        <v>42734</v>
      </c>
      <c r="F13" s="5"/>
      <c r="G13" s="49"/>
      <c r="H13" s="5">
        <v>8.17</v>
      </c>
      <c r="I13" s="5">
        <f>M13/30*23</f>
        <v>19.166666666666668</v>
      </c>
      <c r="J13" s="5"/>
      <c r="K13" s="5"/>
      <c r="L13" s="6">
        <v>40</v>
      </c>
      <c r="M13" s="62">
        <v>25</v>
      </c>
      <c r="N13" s="84">
        <f t="shared" si="0"/>
        <v>10.5</v>
      </c>
    </row>
    <row r="14" spans="1:18">
      <c r="A14" s="2" t="s">
        <v>30</v>
      </c>
      <c r="B14" s="2"/>
      <c r="C14" s="4">
        <v>42732</v>
      </c>
      <c r="D14" s="4"/>
      <c r="E14" s="4">
        <v>42759</v>
      </c>
      <c r="F14" s="5"/>
      <c r="G14" s="49"/>
      <c r="H14" s="5">
        <v>18.8</v>
      </c>
      <c r="I14" s="5">
        <f>M14/30*27</f>
        <v>23.400000000000002</v>
      </c>
      <c r="J14" s="5"/>
      <c r="K14" s="5"/>
      <c r="L14" s="6">
        <v>90</v>
      </c>
      <c r="M14" s="62">
        <v>26</v>
      </c>
      <c r="N14" s="84">
        <f t="shared" si="0"/>
        <v>44.8</v>
      </c>
    </row>
    <row r="15" spans="1:18">
      <c r="A15" s="2" t="s">
        <v>31</v>
      </c>
      <c r="B15" s="2"/>
      <c r="C15" s="4">
        <v>42735</v>
      </c>
      <c r="D15" s="4"/>
      <c r="E15" s="4">
        <v>42782</v>
      </c>
      <c r="F15" s="5">
        <v>50</v>
      </c>
      <c r="G15" s="49"/>
      <c r="H15" s="5">
        <v>20.63</v>
      </c>
      <c r="I15" s="5">
        <f>M15/30*46</f>
        <v>42.933333333333337</v>
      </c>
      <c r="J15" s="5"/>
      <c r="K15" s="5"/>
      <c r="L15" s="6">
        <v>92</v>
      </c>
      <c r="M15" s="61">
        <v>28</v>
      </c>
      <c r="N15" s="56">
        <f t="shared" si="0"/>
        <v>44.8</v>
      </c>
    </row>
    <row r="16" spans="1:18">
      <c r="A16" s="2" t="s">
        <v>32</v>
      </c>
      <c r="B16" s="2"/>
      <c r="C16" s="4">
        <v>42857</v>
      </c>
      <c r="D16" s="4"/>
      <c r="E16" s="4">
        <v>42866</v>
      </c>
      <c r="F16" s="5"/>
      <c r="G16" s="49"/>
      <c r="H16" s="5"/>
      <c r="I16" s="5">
        <f>23/30*9</f>
        <v>6.9</v>
      </c>
      <c r="J16" s="5">
        <f>60*0.7</f>
        <v>42</v>
      </c>
      <c r="K16" s="5"/>
      <c r="L16" s="6">
        <v>60</v>
      </c>
      <c r="M16" s="61">
        <v>23</v>
      </c>
      <c r="N16" s="56">
        <f t="shared" si="0"/>
        <v>25.9</v>
      </c>
    </row>
    <row r="17" spans="1:19">
      <c r="A17" s="2" t="s">
        <v>37</v>
      </c>
      <c r="B17" s="2"/>
      <c r="C17" s="4">
        <v>42891</v>
      </c>
      <c r="D17" s="4"/>
      <c r="E17" s="4">
        <v>42915</v>
      </c>
      <c r="F17" s="5"/>
      <c r="G17" s="49"/>
      <c r="H17" s="5">
        <v>6.83</v>
      </c>
      <c r="I17" s="5">
        <f>24/30*24</f>
        <v>19.200000000000003</v>
      </c>
      <c r="J17" s="5"/>
      <c r="K17" s="5"/>
      <c r="L17" s="6">
        <v>70</v>
      </c>
      <c r="M17" s="61">
        <v>24</v>
      </c>
      <c r="N17" s="56">
        <f t="shared" si="0"/>
        <v>32.199999999999996</v>
      </c>
    </row>
    <row r="18" spans="1:19">
      <c r="A18" s="2" t="s">
        <v>39</v>
      </c>
      <c r="B18" s="2"/>
      <c r="C18" s="4">
        <v>43081</v>
      </c>
      <c r="D18" s="4"/>
      <c r="E18" s="4">
        <v>43109</v>
      </c>
      <c r="F18" s="5"/>
      <c r="G18" s="49"/>
      <c r="H18" s="5">
        <v>9.83</v>
      </c>
      <c r="I18" s="5">
        <f>36/30*28</f>
        <v>33.6</v>
      </c>
      <c r="J18" s="5"/>
      <c r="K18" s="5"/>
      <c r="L18" s="6">
        <v>120</v>
      </c>
      <c r="M18" s="61">
        <v>36</v>
      </c>
      <c r="N18" s="56">
        <f t="shared" si="0"/>
        <v>58.8</v>
      </c>
    </row>
    <row r="19" spans="1:19">
      <c r="A19" s="22" t="s">
        <v>56</v>
      </c>
      <c r="B19" s="22"/>
      <c r="C19" s="4">
        <v>43361</v>
      </c>
      <c r="D19" s="4"/>
      <c r="E19" s="4">
        <v>43132</v>
      </c>
      <c r="F19" s="5"/>
      <c r="G19" s="49"/>
      <c r="H19" s="5">
        <v>14.11</v>
      </c>
      <c r="I19" s="5">
        <f>25*4+25/30*12</f>
        <v>110</v>
      </c>
      <c r="J19" s="5"/>
      <c r="K19" s="5"/>
      <c r="L19" s="6">
        <v>75</v>
      </c>
      <c r="M19" s="61">
        <v>25</v>
      </c>
      <c r="N19" s="56">
        <f t="shared" si="0"/>
        <v>35</v>
      </c>
    </row>
    <row r="20" spans="1:19">
      <c r="A20" s="2" t="s">
        <v>40</v>
      </c>
      <c r="B20" s="2"/>
      <c r="C20" s="4">
        <v>43106</v>
      </c>
      <c r="D20" s="4"/>
      <c r="E20" s="4">
        <v>43146</v>
      </c>
      <c r="F20" s="5"/>
      <c r="G20" s="49"/>
      <c r="H20" s="5">
        <v>8.2899999999999991</v>
      </c>
      <c r="I20" s="5">
        <f>25/30*39</f>
        <v>32.5</v>
      </c>
      <c r="J20" s="5"/>
      <c r="K20" s="5"/>
      <c r="L20" s="6">
        <v>70</v>
      </c>
      <c r="M20" s="61">
        <v>26</v>
      </c>
      <c r="N20" s="56">
        <f t="shared" si="0"/>
        <v>30.799999999999997</v>
      </c>
    </row>
    <row r="21" spans="1:19">
      <c r="A21" s="2" t="s">
        <v>44</v>
      </c>
      <c r="B21" s="2"/>
      <c r="C21" s="4">
        <v>43196</v>
      </c>
      <c r="D21" s="4"/>
      <c r="E21" s="4">
        <v>43250</v>
      </c>
      <c r="F21" s="5"/>
      <c r="G21" s="49"/>
      <c r="H21" s="5">
        <v>13.78</v>
      </c>
      <c r="I21" s="5">
        <f>25*24/30+25</f>
        <v>45</v>
      </c>
      <c r="J21" s="5"/>
      <c r="K21" s="5"/>
      <c r="L21" s="6">
        <v>11</v>
      </c>
      <c r="M21" s="61">
        <v>25</v>
      </c>
      <c r="N21" s="5">
        <f>(M21-L21)*0.7</f>
        <v>9.7999999999999989</v>
      </c>
      <c r="O21" s="71" t="s">
        <v>299</v>
      </c>
      <c r="P21" s="71">
        <v>9.8000000000000007</v>
      </c>
      <c r="Q21" s="95">
        <v>-14.7</v>
      </c>
      <c r="R21" s="96">
        <f>Q21*7</f>
        <v>-102.89999999999999</v>
      </c>
      <c r="S21" t="s">
        <v>282</v>
      </c>
    </row>
    <row r="22" spans="1:19">
      <c r="A22" s="22" t="s">
        <v>47</v>
      </c>
      <c r="B22" s="22"/>
      <c r="C22" s="4">
        <v>43355</v>
      </c>
      <c r="D22" s="4"/>
      <c r="E22" s="4">
        <v>43277</v>
      </c>
      <c r="F22" s="5"/>
      <c r="G22" s="49"/>
      <c r="H22" s="5">
        <v>19.98</v>
      </c>
      <c r="I22" s="5">
        <f>36*2+36/30*16</f>
        <v>91.2</v>
      </c>
      <c r="J22" s="5"/>
      <c r="K22" s="5"/>
      <c r="L22" s="6">
        <v>105</v>
      </c>
      <c r="M22" s="61">
        <v>36</v>
      </c>
      <c r="N22" s="56">
        <f t="shared" si="0"/>
        <v>48.3</v>
      </c>
      <c r="O22" t="s">
        <v>312</v>
      </c>
    </row>
    <row r="23" spans="1:19">
      <c r="A23" s="22" t="s">
        <v>48</v>
      </c>
      <c r="B23" s="22"/>
      <c r="C23" s="4">
        <v>43367</v>
      </c>
      <c r="D23" s="4"/>
      <c r="E23" s="4">
        <v>43284</v>
      </c>
      <c r="F23" s="5"/>
      <c r="G23" s="49"/>
      <c r="H23" s="5">
        <v>9.1</v>
      </c>
      <c r="I23" s="5">
        <f>25+25/30*27</f>
        <v>47.5</v>
      </c>
      <c r="J23" s="5"/>
      <c r="K23" s="5"/>
      <c r="L23" s="6">
        <v>75</v>
      </c>
      <c r="M23" s="61">
        <v>25</v>
      </c>
      <c r="N23" s="56">
        <f t="shared" si="0"/>
        <v>35</v>
      </c>
    </row>
    <row r="24" spans="1:19">
      <c r="A24" s="2" t="s">
        <v>45</v>
      </c>
      <c r="B24" s="2"/>
      <c r="C24" s="4"/>
      <c r="D24" s="4"/>
      <c r="E24" s="4">
        <v>43286</v>
      </c>
      <c r="F24" s="5"/>
      <c r="G24" s="49"/>
      <c r="H24" s="5">
        <v>11.56</v>
      </c>
      <c r="I24" s="5"/>
      <c r="J24" s="5"/>
      <c r="K24" s="5"/>
      <c r="L24" s="6">
        <v>150</v>
      </c>
      <c r="M24" s="61">
        <v>76</v>
      </c>
      <c r="N24" s="56">
        <f t="shared" si="0"/>
        <v>51.8</v>
      </c>
      <c r="O24" s="20"/>
    </row>
    <row r="25" spans="1:19">
      <c r="A25" s="22" t="s">
        <v>49</v>
      </c>
      <c r="B25" s="22"/>
      <c r="C25" s="4">
        <v>43367</v>
      </c>
      <c r="D25" s="4"/>
      <c r="E25" s="4">
        <v>43291</v>
      </c>
      <c r="F25" s="5"/>
      <c r="G25" s="49"/>
      <c r="H25" s="5">
        <v>10.039999999999999</v>
      </c>
      <c r="I25" s="5">
        <f>50+25/30*14</f>
        <v>61.666666666666671</v>
      </c>
      <c r="J25" s="5"/>
      <c r="K25" s="5"/>
      <c r="L25" s="6">
        <v>50</v>
      </c>
      <c r="M25" s="61">
        <v>22</v>
      </c>
      <c r="N25" s="84">
        <f t="shared" si="0"/>
        <v>19.599999999999998</v>
      </c>
    </row>
    <row r="26" spans="1:19">
      <c r="A26" s="22" t="s">
        <v>51</v>
      </c>
      <c r="B26" s="22"/>
      <c r="C26" s="4">
        <v>43358</v>
      </c>
      <c r="D26" s="4"/>
      <c r="E26" s="4">
        <v>43291</v>
      </c>
      <c r="F26" s="5"/>
      <c r="G26" s="49"/>
      <c r="H26" s="5">
        <v>10.039999999999999</v>
      </c>
      <c r="I26" s="5">
        <f>50+25/30*5</f>
        <v>54.166666666666664</v>
      </c>
      <c r="J26" s="5"/>
      <c r="K26" s="5"/>
      <c r="L26" s="6">
        <v>75</v>
      </c>
      <c r="M26" s="61">
        <v>25</v>
      </c>
      <c r="N26" s="56">
        <f t="shared" si="0"/>
        <v>35</v>
      </c>
    </row>
    <row r="27" spans="1:19">
      <c r="A27" s="22" t="s">
        <v>52</v>
      </c>
      <c r="B27" s="22"/>
      <c r="C27" s="4">
        <v>43367</v>
      </c>
      <c r="D27" s="4"/>
      <c r="E27" s="4">
        <v>43308</v>
      </c>
      <c r="F27" s="5"/>
      <c r="G27" s="49"/>
      <c r="H27" s="5">
        <v>10.86</v>
      </c>
      <c r="I27" s="5">
        <f>25+25/30*27</f>
        <v>47.5</v>
      </c>
      <c r="J27" s="5"/>
      <c r="K27" s="5"/>
      <c r="L27" s="6">
        <v>75</v>
      </c>
      <c r="M27" s="61">
        <v>25</v>
      </c>
      <c r="N27" s="86">
        <f t="shared" si="0"/>
        <v>35</v>
      </c>
    </row>
    <row r="28" spans="1:19">
      <c r="A28" s="22" t="s">
        <v>50</v>
      </c>
      <c r="B28" s="22"/>
      <c r="C28" s="4">
        <v>43367</v>
      </c>
      <c r="D28" s="4"/>
      <c r="E28" s="4">
        <v>43312</v>
      </c>
      <c r="F28" s="5"/>
      <c r="G28" s="49"/>
      <c r="H28" s="5">
        <v>10.86</v>
      </c>
      <c r="I28" s="5">
        <f>25+25/30*24</f>
        <v>45</v>
      </c>
      <c r="J28" s="5"/>
      <c r="K28" s="5"/>
      <c r="L28" s="6">
        <v>70</v>
      </c>
      <c r="M28" s="61">
        <v>25</v>
      </c>
      <c r="N28" s="56">
        <f t="shared" si="0"/>
        <v>31.499999999999996</v>
      </c>
    </row>
    <row r="29" spans="1:19">
      <c r="A29" s="22" t="s">
        <v>55</v>
      </c>
      <c r="B29" s="22"/>
      <c r="C29" s="4">
        <v>43363</v>
      </c>
      <c r="D29" s="4"/>
      <c r="E29" s="4">
        <v>43440</v>
      </c>
      <c r="F29" s="5"/>
      <c r="G29" s="49"/>
      <c r="H29" s="5">
        <v>14.11</v>
      </c>
      <c r="I29" s="5">
        <f>25*2+25*16/30</f>
        <v>63.333333333333336</v>
      </c>
      <c r="J29" s="5"/>
      <c r="K29" s="5"/>
      <c r="L29" s="6">
        <v>75</v>
      </c>
      <c r="M29" s="61">
        <v>25</v>
      </c>
      <c r="N29" s="56">
        <f t="shared" si="0"/>
        <v>35</v>
      </c>
    </row>
    <row r="30" spans="1:19">
      <c r="A30" s="22" t="s">
        <v>54</v>
      </c>
      <c r="B30" s="22"/>
      <c r="C30" s="4">
        <v>43167</v>
      </c>
      <c r="D30" s="4"/>
      <c r="E30" s="4">
        <v>43455</v>
      </c>
      <c r="F30" s="5"/>
      <c r="G30" s="49"/>
      <c r="H30" s="5">
        <v>10.86</v>
      </c>
      <c r="I30" s="5">
        <f>9*25+25*13/30</f>
        <v>235.83333333333334</v>
      </c>
      <c r="J30" s="5"/>
      <c r="K30" s="5"/>
      <c r="L30" s="6">
        <v>90</v>
      </c>
      <c r="M30" s="61">
        <v>36</v>
      </c>
      <c r="N30" s="56">
        <f t="shared" si="0"/>
        <v>37.799999999999997</v>
      </c>
    </row>
    <row r="31" spans="1:19">
      <c r="A31" s="22" t="s">
        <v>57</v>
      </c>
      <c r="B31" s="55"/>
      <c r="C31" s="31">
        <v>43478</v>
      </c>
      <c r="D31" s="31"/>
      <c r="E31" s="4">
        <v>43536</v>
      </c>
      <c r="F31" s="5"/>
      <c r="G31" s="49"/>
      <c r="H31" s="5">
        <v>10.86</v>
      </c>
      <c r="I31" s="5">
        <v>25</v>
      </c>
      <c r="J31" s="5"/>
      <c r="K31" s="5"/>
      <c r="L31" s="6">
        <v>70</v>
      </c>
      <c r="M31" s="61">
        <v>25</v>
      </c>
      <c r="N31" s="56">
        <f t="shared" si="0"/>
        <v>31.499999999999996</v>
      </c>
    </row>
    <row r="32" spans="1:19">
      <c r="A32" s="22" t="s">
        <v>59</v>
      </c>
      <c r="B32" s="22"/>
      <c r="C32" s="4">
        <v>43528</v>
      </c>
      <c r="D32" s="4"/>
      <c r="E32" s="4">
        <v>43538</v>
      </c>
      <c r="F32" s="5"/>
      <c r="G32" s="49"/>
      <c r="H32" s="5">
        <v>14.92</v>
      </c>
      <c r="I32" s="5">
        <f>77/30*10</f>
        <v>25.666666666666668</v>
      </c>
      <c r="J32" s="5"/>
      <c r="K32" s="5"/>
      <c r="L32" s="6">
        <v>169</v>
      </c>
      <c r="M32" s="61">
        <f>64+11+2</f>
        <v>77</v>
      </c>
      <c r="N32" s="56">
        <f t="shared" si="0"/>
        <v>64.399999999999991</v>
      </c>
    </row>
    <row r="33" spans="1:18">
      <c r="A33" s="22" t="s">
        <v>58</v>
      </c>
      <c r="B33" s="22"/>
      <c r="C33" s="4">
        <v>43534</v>
      </c>
      <c r="D33" s="4"/>
      <c r="E33" s="4">
        <v>43542</v>
      </c>
      <c r="F33" s="5"/>
      <c r="G33" s="49"/>
      <c r="H33" s="5">
        <f>10.86*2</f>
        <v>21.72</v>
      </c>
      <c r="I33" s="5">
        <v>0</v>
      </c>
      <c r="J33" s="5"/>
      <c r="K33" s="5"/>
      <c r="L33" s="6">
        <v>60</v>
      </c>
      <c r="M33" s="61">
        <v>33</v>
      </c>
      <c r="N33" s="5">
        <f t="shared" si="0"/>
        <v>18.899999999999999</v>
      </c>
      <c r="O33" s="71" t="s">
        <v>300</v>
      </c>
      <c r="P33" s="71">
        <v>18.899999999999999</v>
      </c>
      <c r="Q33" s="1">
        <v>4.2</v>
      </c>
      <c r="R33" s="16">
        <f>Q33*3</f>
        <v>12.600000000000001</v>
      </c>
    </row>
    <row r="34" spans="1:18">
      <c r="A34" s="22" t="s">
        <v>61</v>
      </c>
      <c r="B34" s="22"/>
      <c r="C34" s="4">
        <v>43482</v>
      </c>
      <c r="D34" s="4"/>
      <c r="E34" s="4">
        <v>43542</v>
      </c>
      <c r="F34" s="5"/>
      <c r="G34" s="49"/>
      <c r="H34" s="5">
        <v>11.1</v>
      </c>
      <c r="I34" s="5">
        <f>25*2</f>
        <v>50</v>
      </c>
      <c r="J34" s="5"/>
      <c r="K34" s="5"/>
      <c r="L34" s="6">
        <v>70</v>
      </c>
      <c r="M34" s="61">
        <v>26</v>
      </c>
      <c r="N34" s="56">
        <f t="shared" si="0"/>
        <v>30.799999999999997</v>
      </c>
      <c r="O34" t="s">
        <v>313</v>
      </c>
    </row>
    <row r="35" spans="1:18">
      <c r="A35" s="22" t="s">
        <v>67</v>
      </c>
      <c r="B35" s="22"/>
      <c r="C35" s="4">
        <v>43600</v>
      </c>
      <c r="D35" s="4"/>
      <c r="E35" s="4">
        <v>43629</v>
      </c>
      <c r="F35" s="5"/>
      <c r="G35" s="49"/>
      <c r="H35" s="5">
        <f>10.86*2</f>
        <v>21.72</v>
      </c>
      <c r="I35" s="5">
        <f>22/30*58</f>
        <v>42.533333333333331</v>
      </c>
      <c r="J35" s="5">
        <v>50</v>
      </c>
      <c r="K35" s="5">
        <f>H35+I35+J35</f>
        <v>114.25333333333333</v>
      </c>
      <c r="L35" s="6">
        <v>60</v>
      </c>
      <c r="M35" s="61">
        <v>25</v>
      </c>
      <c r="N35" s="56">
        <v>0</v>
      </c>
    </row>
    <row r="36" spans="1:18">
      <c r="A36" s="22" t="s">
        <v>66</v>
      </c>
      <c r="B36" s="22"/>
      <c r="C36" s="4">
        <v>43600</v>
      </c>
      <c r="D36" s="4"/>
      <c r="E36" s="4">
        <v>43629</v>
      </c>
      <c r="F36" s="5"/>
      <c r="G36" s="49"/>
      <c r="H36" s="5">
        <f>10.86</f>
        <v>10.86</v>
      </c>
      <c r="I36" s="5">
        <f>39/30*58</f>
        <v>75.400000000000006</v>
      </c>
      <c r="J36" s="5"/>
      <c r="K36" s="5">
        <f>H36+I36</f>
        <v>86.26</v>
      </c>
      <c r="L36" s="6">
        <v>110</v>
      </c>
      <c r="M36" s="61">
        <f>25+11+3</f>
        <v>39</v>
      </c>
      <c r="N36" s="56">
        <v>0</v>
      </c>
    </row>
    <row r="37" spans="1:18">
      <c r="A37" s="22" t="s">
        <v>64</v>
      </c>
      <c r="B37" s="22"/>
      <c r="C37" s="4">
        <v>43627</v>
      </c>
      <c r="D37" s="4"/>
      <c r="E37" s="4">
        <v>43629</v>
      </c>
      <c r="F37" s="5"/>
      <c r="G37" s="49"/>
      <c r="H37" s="5">
        <v>10.86</v>
      </c>
      <c r="I37" s="5">
        <f>25/30*2</f>
        <v>1.6666666666666667</v>
      </c>
      <c r="J37" s="5"/>
      <c r="K37" s="5">
        <f>H37+I37</f>
        <v>12.526666666666666</v>
      </c>
      <c r="L37" s="6">
        <v>200</v>
      </c>
      <c r="M37" s="61">
        <v>11</v>
      </c>
      <c r="N37" s="5">
        <f t="shared" ref="N37:N50" si="1">(L37-M37)*0.7</f>
        <v>132.29999999999998</v>
      </c>
      <c r="O37" s="71" t="s">
        <v>301</v>
      </c>
      <c r="P37" s="71">
        <v>132.30000000000001</v>
      </c>
      <c r="Q37" s="1">
        <v>102.9</v>
      </c>
      <c r="R37" s="16">
        <f>Q37*4</f>
        <v>411.6</v>
      </c>
    </row>
    <row r="38" spans="1:18">
      <c r="A38" s="22" t="s">
        <v>65</v>
      </c>
      <c r="B38" s="22"/>
      <c r="C38" s="4">
        <v>43622</v>
      </c>
      <c r="D38" s="4"/>
      <c r="E38" s="4">
        <v>43650</v>
      </c>
      <c r="F38" s="5"/>
      <c r="G38" s="49"/>
      <c r="H38" s="5">
        <v>10.86</v>
      </c>
      <c r="I38" s="5"/>
      <c r="J38" s="5"/>
      <c r="K38" s="5"/>
      <c r="L38" s="6">
        <v>120</v>
      </c>
      <c r="M38" s="61">
        <v>60</v>
      </c>
      <c r="N38" s="56">
        <f t="shared" si="1"/>
        <v>42</v>
      </c>
      <c r="O38" t="s">
        <v>314</v>
      </c>
    </row>
    <row r="39" spans="1:18">
      <c r="A39" s="22" t="s">
        <v>71</v>
      </c>
      <c r="B39" s="22"/>
      <c r="C39" s="4">
        <v>43635</v>
      </c>
      <c r="D39" s="4"/>
      <c r="E39" s="4">
        <v>43662</v>
      </c>
      <c r="F39" s="5"/>
      <c r="G39" s="49"/>
      <c r="H39" s="5">
        <f>10.86*2</f>
        <v>21.72</v>
      </c>
      <c r="I39" s="5"/>
      <c r="J39" s="5"/>
      <c r="K39" s="5"/>
      <c r="L39" s="6">
        <v>70</v>
      </c>
      <c r="M39" s="61">
        <v>26</v>
      </c>
      <c r="N39" s="56">
        <f t="shared" si="1"/>
        <v>30.799999999999997</v>
      </c>
    </row>
    <row r="40" spans="1:18">
      <c r="A40" s="2" t="s">
        <v>75</v>
      </c>
      <c r="B40" s="2"/>
      <c r="C40" s="4">
        <v>43656</v>
      </c>
      <c r="D40" s="4"/>
      <c r="E40" s="4">
        <v>43711</v>
      </c>
      <c r="F40" s="5"/>
      <c r="G40" s="49"/>
      <c r="H40" s="5">
        <v>10.86</v>
      </c>
      <c r="I40" s="5">
        <f>36/30*48</f>
        <v>57.599999999999994</v>
      </c>
      <c r="J40" s="5"/>
      <c r="K40" s="5"/>
      <c r="L40" s="6">
        <v>105</v>
      </c>
      <c r="M40" s="61">
        <v>36</v>
      </c>
      <c r="N40" s="56">
        <f t="shared" si="1"/>
        <v>48.3</v>
      </c>
    </row>
    <row r="41" spans="1:18">
      <c r="A41" s="2" t="s">
        <v>76</v>
      </c>
      <c r="B41" s="2"/>
      <c r="C41" s="4">
        <v>43677</v>
      </c>
      <c r="D41" s="4"/>
      <c r="E41" s="4">
        <v>43713</v>
      </c>
      <c r="F41" s="5"/>
      <c r="G41" s="49"/>
      <c r="H41" s="5">
        <v>24.06</v>
      </c>
      <c r="I41" s="5">
        <f>80/30*35</f>
        <v>93.333333333333329</v>
      </c>
      <c r="J41" s="5">
        <v>40</v>
      </c>
      <c r="K41" s="5"/>
      <c r="L41" s="6">
        <v>149</v>
      </c>
      <c r="M41" s="61">
        <v>80</v>
      </c>
      <c r="N41" s="56">
        <f t="shared" si="1"/>
        <v>48.3</v>
      </c>
    </row>
    <row r="42" spans="1:18">
      <c r="A42" s="2" t="s">
        <v>81</v>
      </c>
      <c r="B42" s="2"/>
      <c r="C42" s="4">
        <v>43788</v>
      </c>
      <c r="D42" s="4"/>
      <c r="E42" s="4">
        <v>43865</v>
      </c>
      <c r="F42" s="5"/>
      <c r="G42" s="49"/>
      <c r="H42" s="5">
        <v>9.14</v>
      </c>
      <c r="I42" s="5">
        <f>25/30*45</f>
        <v>37.5</v>
      </c>
      <c r="J42" s="5"/>
      <c r="K42" s="5"/>
      <c r="L42" s="6">
        <v>90</v>
      </c>
      <c r="M42" s="61">
        <v>25</v>
      </c>
      <c r="N42" s="56">
        <f t="shared" si="1"/>
        <v>45.5</v>
      </c>
    </row>
    <row r="43" spans="1:18">
      <c r="A43" s="22" t="s">
        <v>87</v>
      </c>
      <c r="B43" s="22"/>
      <c r="C43" s="35">
        <v>43878</v>
      </c>
      <c r="D43" s="35"/>
      <c r="E43" s="35">
        <v>43892</v>
      </c>
      <c r="F43" s="5"/>
      <c r="G43" s="49"/>
      <c r="H43" s="5">
        <v>12.19</v>
      </c>
      <c r="I43" s="5">
        <v>5.5</v>
      </c>
      <c r="J43" s="5"/>
      <c r="K43" s="5"/>
      <c r="L43" s="6">
        <v>25</v>
      </c>
      <c r="M43" s="61">
        <v>11</v>
      </c>
      <c r="N43" s="56">
        <f t="shared" si="1"/>
        <v>9.7999999999999989</v>
      </c>
    </row>
    <row r="44" spans="1:18">
      <c r="A44" s="22" t="s">
        <v>89</v>
      </c>
      <c r="B44" s="22"/>
      <c r="C44" s="35">
        <v>43908</v>
      </c>
      <c r="D44" s="35"/>
      <c r="E44" s="35">
        <v>43893</v>
      </c>
      <c r="F44" s="5"/>
      <c r="G44" s="49"/>
      <c r="H44" s="5">
        <v>9.6</v>
      </c>
      <c r="I44" s="5">
        <v>5.5</v>
      </c>
      <c r="J44" s="5"/>
      <c r="K44" s="5"/>
      <c r="L44" s="6">
        <v>25</v>
      </c>
      <c r="M44" s="61">
        <v>11</v>
      </c>
      <c r="N44" s="56">
        <f t="shared" si="1"/>
        <v>9.7999999999999989</v>
      </c>
    </row>
    <row r="45" spans="1:18">
      <c r="A45" s="22" t="s">
        <v>85</v>
      </c>
      <c r="B45" s="22"/>
      <c r="C45" s="35">
        <v>43881</v>
      </c>
      <c r="D45" s="35"/>
      <c r="E45" s="35">
        <v>43895</v>
      </c>
      <c r="F45" s="5"/>
      <c r="G45" s="49"/>
      <c r="H45" s="5">
        <v>9.14</v>
      </c>
      <c r="I45" s="5">
        <f>11/30*15</f>
        <v>5.5</v>
      </c>
      <c r="J45" s="5"/>
      <c r="K45" s="5"/>
      <c r="L45" s="6">
        <v>25</v>
      </c>
      <c r="M45" s="61">
        <v>11</v>
      </c>
      <c r="N45" s="56">
        <f t="shared" si="1"/>
        <v>9.7999999999999989</v>
      </c>
    </row>
    <row r="46" spans="1:18">
      <c r="A46" s="39" t="s">
        <v>82</v>
      </c>
      <c r="B46" s="28"/>
      <c r="C46" s="36">
        <v>40235</v>
      </c>
      <c r="D46" s="36"/>
      <c r="E46" s="36">
        <v>43901</v>
      </c>
      <c r="F46" s="5"/>
      <c r="G46" s="34"/>
      <c r="H46" s="37">
        <v>9.6</v>
      </c>
      <c r="I46" s="5">
        <f>11/2</f>
        <v>5.5</v>
      </c>
      <c r="J46" s="5"/>
      <c r="K46" s="5"/>
      <c r="L46" s="17">
        <v>25</v>
      </c>
      <c r="M46" s="63">
        <v>11</v>
      </c>
      <c r="N46" s="87">
        <f t="shared" si="1"/>
        <v>9.7999999999999989</v>
      </c>
    </row>
    <row r="47" spans="1:18">
      <c r="A47" s="22" t="s">
        <v>84</v>
      </c>
      <c r="B47" s="22"/>
      <c r="C47" s="35">
        <v>43889</v>
      </c>
      <c r="D47" s="35"/>
      <c r="E47" s="35">
        <v>43903</v>
      </c>
      <c r="F47" s="5"/>
      <c r="G47" s="49"/>
      <c r="H47" s="5">
        <v>9.14</v>
      </c>
      <c r="I47" s="5">
        <f>11/30*15</f>
        <v>5.5</v>
      </c>
      <c r="J47" s="5"/>
      <c r="K47" s="5"/>
      <c r="L47" s="6">
        <v>25</v>
      </c>
      <c r="M47" s="61">
        <v>11</v>
      </c>
      <c r="N47" s="56">
        <f t="shared" si="1"/>
        <v>9.7999999999999989</v>
      </c>
    </row>
    <row r="48" spans="1:18">
      <c r="A48" s="22" t="s">
        <v>80</v>
      </c>
      <c r="B48" s="22"/>
      <c r="C48" s="35">
        <v>43873</v>
      </c>
      <c r="D48" s="35"/>
      <c r="E48" s="35">
        <v>43910</v>
      </c>
      <c r="F48" s="5"/>
      <c r="G48" s="49"/>
      <c r="H48" s="5">
        <v>21.84</v>
      </c>
      <c r="I48" s="5">
        <f>56/30*38</f>
        <v>70.933333333333337</v>
      </c>
      <c r="J48" s="5"/>
      <c r="K48" s="5"/>
      <c r="L48" s="6">
        <v>120</v>
      </c>
      <c r="M48" s="61">
        <v>56</v>
      </c>
      <c r="N48" s="56">
        <f t="shared" si="1"/>
        <v>44.8</v>
      </c>
    </row>
    <row r="49" spans="1:18">
      <c r="A49" s="22" t="s">
        <v>83</v>
      </c>
      <c r="B49" s="22"/>
      <c r="C49" s="35">
        <v>43872</v>
      </c>
      <c r="D49" s="35"/>
      <c r="E49" s="35">
        <v>43913</v>
      </c>
      <c r="F49" s="5"/>
      <c r="G49" s="49"/>
      <c r="H49" s="5">
        <v>12.24</v>
      </c>
      <c r="I49" s="5">
        <f>45/30*42</f>
        <v>63</v>
      </c>
      <c r="J49" s="5"/>
      <c r="K49" s="5"/>
      <c r="L49" s="6">
        <v>85</v>
      </c>
      <c r="M49" s="61">
        <v>45</v>
      </c>
      <c r="N49" s="56">
        <f t="shared" si="1"/>
        <v>28</v>
      </c>
    </row>
    <row r="50" spans="1:18">
      <c r="A50" s="22" t="s">
        <v>88</v>
      </c>
      <c r="B50" s="22"/>
      <c r="C50" s="35">
        <v>43855</v>
      </c>
      <c r="D50" s="35"/>
      <c r="E50" s="35">
        <v>43941</v>
      </c>
      <c r="F50" s="5"/>
      <c r="G50" s="49"/>
      <c r="H50" s="5">
        <v>13.93</v>
      </c>
      <c r="I50" s="5">
        <f>56/30*85</f>
        <v>158.66666666666666</v>
      </c>
      <c r="J50" s="5"/>
      <c r="K50" s="5"/>
      <c r="L50" s="6">
        <v>110</v>
      </c>
      <c r="M50" s="61">
        <v>56</v>
      </c>
      <c r="N50" s="56">
        <f t="shared" si="1"/>
        <v>37.799999999999997</v>
      </c>
    </row>
    <row r="51" spans="1:18">
      <c r="A51" s="22" t="s">
        <v>90</v>
      </c>
      <c r="B51" s="22"/>
      <c r="C51" s="35" t="s">
        <v>96</v>
      </c>
      <c r="D51" s="35"/>
      <c r="E51" s="35">
        <v>44015</v>
      </c>
      <c r="F51" s="5" t="s">
        <v>160</v>
      </c>
      <c r="G51" s="49">
        <v>12.5</v>
      </c>
      <c r="H51" s="5">
        <v>11.29</v>
      </c>
      <c r="I51" s="5">
        <f>100</f>
        <v>100</v>
      </c>
      <c r="J51" s="5"/>
      <c r="K51" s="5"/>
      <c r="L51" s="6">
        <v>105</v>
      </c>
      <c r="M51" s="61">
        <f>25+11+22</f>
        <v>58</v>
      </c>
      <c r="N51" s="5">
        <f>12.5+(92.5-M51)*0.7</f>
        <v>36.65</v>
      </c>
      <c r="O51" s="71" t="s">
        <v>311</v>
      </c>
      <c r="P51" s="71">
        <v>36.65</v>
      </c>
      <c r="Q51" s="1">
        <v>5.6</v>
      </c>
      <c r="R51" s="16">
        <f>Q51*6</f>
        <v>33.599999999999994</v>
      </c>
    </row>
    <row r="52" spans="1:18">
      <c r="A52" s="22" t="s">
        <v>97</v>
      </c>
      <c r="B52" s="22"/>
      <c r="C52" s="35">
        <v>43990</v>
      </c>
      <c r="D52" s="35"/>
      <c r="E52" s="35">
        <v>44036</v>
      </c>
      <c r="F52" s="5"/>
      <c r="G52" s="49"/>
      <c r="H52" s="5">
        <v>8.75</v>
      </c>
      <c r="I52" s="5">
        <f>56/30*46</f>
        <v>85.866666666666674</v>
      </c>
      <c r="J52" s="5"/>
      <c r="K52" s="5"/>
      <c r="L52" s="6">
        <v>110</v>
      </c>
      <c r="M52" s="61">
        <f>45+11</f>
        <v>56</v>
      </c>
      <c r="N52" s="56">
        <f>(L52-M52)*0.7</f>
        <v>37.799999999999997</v>
      </c>
      <c r="O52" t="s">
        <v>315</v>
      </c>
    </row>
    <row r="53" spans="1:18">
      <c r="A53" s="22" t="s">
        <v>95</v>
      </c>
      <c r="B53" s="22"/>
      <c r="C53" s="35">
        <v>44028</v>
      </c>
      <c r="D53" s="35"/>
      <c r="E53" s="35">
        <v>44040</v>
      </c>
      <c r="F53" s="5"/>
      <c r="G53" s="49"/>
      <c r="H53" s="5">
        <v>8.75</v>
      </c>
      <c r="I53" s="5">
        <f>41/30*12</f>
        <v>16.399999999999999</v>
      </c>
      <c r="J53" s="5"/>
      <c r="K53" s="5"/>
      <c r="L53" s="6">
        <v>60</v>
      </c>
      <c r="M53" s="61">
        <v>41</v>
      </c>
      <c r="N53" s="56">
        <f>(L53-M53)*0.7</f>
        <v>13.299999999999999</v>
      </c>
    </row>
    <row r="54" spans="1:18">
      <c r="A54" s="22" t="s">
        <v>98</v>
      </c>
      <c r="B54" s="22"/>
      <c r="C54" s="35">
        <v>44048</v>
      </c>
      <c r="D54" s="35"/>
      <c r="E54" s="35">
        <v>44081</v>
      </c>
      <c r="F54" s="5" t="s">
        <v>160</v>
      </c>
      <c r="G54" s="49">
        <v>17.5</v>
      </c>
      <c r="H54" s="5">
        <v>27.88</v>
      </c>
      <c r="I54" s="5">
        <f>58/30*32</f>
        <v>61.866666666666667</v>
      </c>
      <c r="J54" s="5">
        <v>125</v>
      </c>
      <c r="K54" s="5"/>
      <c r="L54" s="6">
        <v>140</v>
      </c>
      <c r="M54" s="61">
        <f>25+33</f>
        <v>58</v>
      </c>
      <c r="N54" s="56">
        <f>17.5+64.5*0.7</f>
        <v>62.65</v>
      </c>
      <c r="P54" s="41"/>
    </row>
    <row r="55" spans="1:18">
      <c r="A55" s="22" t="s">
        <v>91</v>
      </c>
      <c r="B55" s="22"/>
      <c r="C55" s="35">
        <v>44011</v>
      </c>
      <c r="D55" s="35"/>
      <c r="E55" s="35">
        <v>44084</v>
      </c>
      <c r="F55" s="5"/>
      <c r="G55" s="49"/>
      <c r="H55" s="5">
        <v>11.29</v>
      </c>
      <c r="I55" s="5">
        <f>25/30*71</f>
        <v>59.166666666666671</v>
      </c>
      <c r="J55" s="5"/>
      <c r="K55" s="5"/>
      <c r="L55" s="6">
        <v>40</v>
      </c>
      <c r="M55" s="61">
        <v>25</v>
      </c>
      <c r="N55" s="56">
        <f>(L55-M55)*0.7</f>
        <v>10.5</v>
      </c>
    </row>
    <row r="56" spans="1:18">
      <c r="A56" s="2" t="s">
        <v>99</v>
      </c>
      <c r="B56" s="2"/>
      <c r="C56" s="35">
        <v>44084</v>
      </c>
      <c r="D56" s="35"/>
      <c r="E56" s="35">
        <v>44105</v>
      </c>
      <c r="F56" s="5" t="s">
        <v>160</v>
      </c>
      <c r="G56" s="49">
        <v>5</v>
      </c>
      <c r="H56" s="5">
        <v>12.24</v>
      </c>
      <c r="I56" s="5">
        <f>25/30*20</f>
        <v>16.666666666666668</v>
      </c>
      <c r="J56" s="5"/>
      <c r="K56" s="5"/>
      <c r="L56" s="43">
        <v>40</v>
      </c>
      <c r="M56" s="61">
        <v>22</v>
      </c>
      <c r="N56" s="56">
        <f>5+13*0.7</f>
        <v>14.1</v>
      </c>
      <c r="P56" s="41"/>
    </row>
    <row r="57" spans="1:18">
      <c r="A57" s="2" t="s">
        <v>102</v>
      </c>
      <c r="B57" s="2"/>
      <c r="C57" s="4" t="s">
        <v>103</v>
      </c>
      <c r="D57" s="4"/>
      <c r="E57" s="4">
        <v>44110</v>
      </c>
      <c r="F57" s="5" t="s">
        <v>160</v>
      </c>
      <c r="G57" s="49">
        <v>10</v>
      </c>
      <c r="H57" s="5">
        <v>36.65</v>
      </c>
      <c r="I57" s="5">
        <f>115/30*26</f>
        <v>99.666666666666671</v>
      </c>
      <c r="J57" s="5"/>
      <c r="K57" s="5"/>
      <c r="L57" s="6">
        <v>180</v>
      </c>
      <c r="M57" s="61">
        <v>115</v>
      </c>
      <c r="N57" s="56">
        <f>10+55*0.7</f>
        <v>48.5</v>
      </c>
      <c r="P57" s="41"/>
    </row>
    <row r="58" spans="1:18">
      <c r="A58" s="2" t="s">
        <v>94</v>
      </c>
      <c r="B58" s="2"/>
      <c r="C58" s="35">
        <v>44124</v>
      </c>
      <c r="D58" s="35"/>
      <c r="E58" s="35">
        <v>44124</v>
      </c>
      <c r="F58" s="5"/>
      <c r="G58" s="49"/>
      <c r="H58" s="5">
        <v>7.25</v>
      </c>
      <c r="I58" s="5">
        <v>0</v>
      </c>
      <c r="J58" s="5"/>
      <c r="K58" s="5"/>
      <c r="L58" s="6">
        <v>25</v>
      </c>
      <c r="M58" s="61">
        <v>11</v>
      </c>
      <c r="N58" s="56">
        <f>(L58-M58)*0.7</f>
        <v>9.7999999999999989</v>
      </c>
    </row>
    <row r="59" spans="1:18">
      <c r="A59" s="2" t="s">
        <v>100</v>
      </c>
      <c r="B59" s="2"/>
      <c r="C59" s="4">
        <v>44018</v>
      </c>
      <c r="D59" s="4"/>
      <c r="E59" s="4">
        <v>44124</v>
      </c>
      <c r="F59" s="40"/>
      <c r="G59" s="2"/>
      <c r="H59" s="5">
        <v>9.5</v>
      </c>
      <c r="I59" s="5">
        <f>25/30*104</f>
        <v>86.666666666666671</v>
      </c>
      <c r="J59" s="5"/>
      <c r="K59" s="5"/>
      <c r="L59" s="6">
        <v>70</v>
      </c>
      <c r="M59" s="61">
        <v>25</v>
      </c>
      <c r="N59" s="56">
        <f>(L59-M59)*0.7</f>
        <v>31.499999999999996</v>
      </c>
    </row>
    <row r="60" spans="1:18">
      <c r="A60" s="2" t="s">
        <v>101</v>
      </c>
      <c r="B60" s="2"/>
      <c r="C60" s="4">
        <v>44070</v>
      </c>
      <c r="D60" s="4"/>
      <c r="E60" s="4">
        <v>44131</v>
      </c>
      <c r="F60" s="40"/>
      <c r="G60" s="2"/>
      <c r="H60" s="5">
        <v>13.93</v>
      </c>
      <c r="I60" s="5">
        <f>71/30*60</f>
        <v>142</v>
      </c>
      <c r="J60" s="5"/>
      <c r="K60" s="5"/>
      <c r="L60" s="6">
        <v>120</v>
      </c>
      <c r="M60" s="61">
        <f>60+11</f>
        <v>71</v>
      </c>
      <c r="N60" s="56">
        <f>(L60-M60)*0.7</f>
        <v>34.299999999999997</v>
      </c>
    </row>
    <row r="61" spans="1:18">
      <c r="A61" s="22" t="s">
        <v>104</v>
      </c>
      <c r="B61" s="22"/>
      <c r="C61" s="4">
        <v>44159</v>
      </c>
      <c r="D61" s="4"/>
      <c r="E61" s="4">
        <v>44187</v>
      </c>
      <c r="F61" s="40"/>
      <c r="G61" s="2"/>
      <c r="H61" s="5">
        <v>13.93</v>
      </c>
      <c r="I61" s="5">
        <f>36/30*28</f>
        <v>33.6</v>
      </c>
      <c r="J61" s="5"/>
      <c r="K61" s="5"/>
      <c r="L61" s="6">
        <v>110</v>
      </c>
      <c r="M61" s="61">
        <f>25+11</f>
        <v>36</v>
      </c>
      <c r="N61" s="56">
        <f>(L61-M61)*0.7</f>
        <v>51.8</v>
      </c>
    </row>
    <row r="62" spans="1:18">
      <c r="A62" s="22" t="s">
        <v>120</v>
      </c>
      <c r="B62" s="22"/>
      <c r="C62" s="4">
        <v>44169</v>
      </c>
      <c r="D62" s="4"/>
      <c r="E62" s="4">
        <v>44208</v>
      </c>
      <c r="F62" s="5" t="s">
        <v>160</v>
      </c>
      <c r="G62" s="49">
        <v>10</v>
      </c>
      <c r="H62" s="5"/>
      <c r="I62" s="5">
        <f>41/30*38</f>
        <v>51.933333333333337</v>
      </c>
      <c r="J62" s="5"/>
      <c r="K62" s="5"/>
      <c r="L62" s="6">
        <v>70</v>
      </c>
      <c r="M62" s="61">
        <v>45</v>
      </c>
      <c r="N62" s="56">
        <f>10+(60-45)*0.7</f>
        <v>20.5</v>
      </c>
      <c r="O62" s="1"/>
    </row>
    <row r="63" spans="1:18">
      <c r="A63" s="22" t="s">
        <v>108</v>
      </c>
      <c r="B63" s="22"/>
      <c r="C63" s="4">
        <v>44185</v>
      </c>
      <c r="D63" s="4"/>
      <c r="E63" s="4">
        <v>44242</v>
      </c>
      <c r="F63" s="5" t="s">
        <v>160</v>
      </c>
      <c r="G63" s="49">
        <v>20</v>
      </c>
      <c r="H63" s="5">
        <v>26.48</v>
      </c>
      <c r="I63" s="5">
        <f>50/30*55</f>
        <v>91.666666666666671</v>
      </c>
      <c r="J63" s="5">
        <v>160</v>
      </c>
      <c r="K63" s="5"/>
      <c r="L63" s="6">
        <v>190</v>
      </c>
      <c r="M63" s="61">
        <v>61</v>
      </c>
      <c r="N63" s="56">
        <f>(20+(170-61)*0.7)</f>
        <v>96.3</v>
      </c>
      <c r="O63" s="1"/>
    </row>
    <row r="64" spans="1:18">
      <c r="A64" s="22" t="s">
        <v>109</v>
      </c>
      <c r="B64" s="22"/>
      <c r="C64" s="4">
        <v>44209</v>
      </c>
      <c r="D64" s="4"/>
      <c r="E64" s="4">
        <v>44250</v>
      </c>
      <c r="F64" s="5" t="s">
        <v>160</v>
      </c>
      <c r="G64" s="49">
        <v>22.5</v>
      </c>
      <c r="H64" s="5">
        <v>22.83</v>
      </c>
      <c r="I64" s="5">
        <f>100/30*40</f>
        <v>133.33333333333334</v>
      </c>
      <c r="J64" s="5">
        <v>125</v>
      </c>
      <c r="K64" s="5"/>
      <c r="L64" s="6">
        <v>210</v>
      </c>
      <c r="M64" s="61">
        <v>100</v>
      </c>
      <c r="N64" s="56">
        <f>(22.5+87.5*0.7)</f>
        <v>83.75</v>
      </c>
    </row>
    <row r="65" spans="1:15">
      <c r="A65" s="2" t="s">
        <v>113</v>
      </c>
      <c r="B65" s="2"/>
      <c r="C65" s="4">
        <v>44245</v>
      </c>
      <c r="D65" s="4"/>
      <c r="E65" s="4">
        <v>44271</v>
      </c>
      <c r="F65" s="5" t="s">
        <v>160</v>
      </c>
      <c r="G65" s="49">
        <v>15</v>
      </c>
      <c r="H65" s="5">
        <v>26.76</v>
      </c>
      <c r="I65" s="5">
        <f>67/30*28</f>
        <v>62.533333333333331</v>
      </c>
      <c r="J65" s="5"/>
      <c r="K65" s="5"/>
      <c r="L65" s="6">
        <v>140</v>
      </c>
      <c r="M65" s="61">
        <v>67</v>
      </c>
      <c r="N65" s="56">
        <f>(15+0.7*58)</f>
        <v>55.599999999999994</v>
      </c>
    </row>
    <row r="66" spans="1:15">
      <c r="A66" s="2" t="s">
        <v>114</v>
      </c>
      <c r="B66" s="2"/>
      <c r="C66" s="4">
        <v>44222</v>
      </c>
      <c r="D66" s="4"/>
      <c r="E66" s="4">
        <v>44279</v>
      </c>
      <c r="F66" s="5" t="s">
        <v>160</v>
      </c>
      <c r="G66" s="49">
        <v>12.5</v>
      </c>
      <c r="H66" s="5">
        <v>13.4</v>
      </c>
      <c r="I66" s="5">
        <f>56/30*58</f>
        <v>108.26666666666667</v>
      </c>
      <c r="J66" s="5">
        <v>100</v>
      </c>
      <c r="K66" s="5"/>
      <c r="L66" s="6">
        <v>140</v>
      </c>
      <c r="M66" s="61">
        <v>56</v>
      </c>
      <c r="N66" s="56">
        <f>(12.5+71.5*0.7)</f>
        <v>62.55</v>
      </c>
      <c r="O66" s="1"/>
    </row>
    <row r="67" spans="1:15">
      <c r="A67" s="2" t="s">
        <v>112</v>
      </c>
      <c r="B67" s="2"/>
      <c r="C67" s="4">
        <v>44270</v>
      </c>
      <c r="D67" s="4"/>
      <c r="E67" s="4">
        <v>44286</v>
      </c>
      <c r="F67" s="5" t="s">
        <v>160</v>
      </c>
      <c r="G67" s="49">
        <v>17.5</v>
      </c>
      <c r="H67" s="5">
        <v>31.96</v>
      </c>
      <c r="I67" s="5">
        <f>55/30*16</f>
        <v>29.333333333333332</v>
      </c>
      <c r="J67" s="5">
        <v>75</v>
      </c>
      <c r="K67" s="5"/>
      <c r="L67" s="6">
        <v>100</v>
      </c>
      <c r="M67" s="61">
        <v>55</v>
      </c>
      <c r="N67" s="56">
        <f>(17.5+27.5*0.7)</f>
        <v>36.75</v>
      </c>
    </row>
    <row r="68" spans="1:15">
      <c r="A68" s="2" t="s">
        <v>119</v>
      </c>
      <c r="B68" s="2"/>
      <c r="C68" s="4">
        <v>44281</v>
      </c>
      <c r="D68" s="4"/>
      <c r="E68" s="4">
        <v>44316</v>
      </c>
      <c r="F68" s="40"/>
      <c r="G68" s="2"/>
      <c r="H68" s="5">
        <v>14.26</v>
      </c>
      <c r="I68" s="5">
        <f>45/30*34</f>
        <v>51</v>
      </c>
      <c r="J68" s="5"/>
      <c r="K68" s="5"/>
      <c r="L68" s="6">
        <v>110</v>
      </c>
      <c r="M68" s="61">
        <v>45</v>
      </c>
      <c r="N68" s="56">
        <f>(65*0.7)</f>
        <v>45.5</v>
      </c>
    </row>
    <row r="69" spans="1:15">
      <c r="A69" s="22" t="s">
        <v>121</v>
      </c>
      <c r="B69" s="22"/>
      <c r="C69" s="4">
        <v>44316</v>
      </c>
      <c r="D69" s="4"/>
      <c r="E69" s="4">
        <v>44354</v>
      </c>
      <c r="F69" s="40"/>
      <c r="G69" s="2"/>
      <c r="H69" s="5">
        <v>15.15</v>
      </c>
      <c r="I69" s="5">
        <f>36/30*37</f>
        <v>44.4</v>
      </c>
      <c r="J69" s="5"/>
      <c r="K69" s="5"/>
      <c r="L69" s="6">
        <v>110</v>
      </c>
      <c r="M69" s="61">
        <v>36</v>
      </c>
      <c r="N69" s="56">
        <f>(L69-M69)*0.7</f>
        <v>51.8</v>
      </c>
      <c r="O69" s="1"/>
    </row>
    <row r="70" spans="1:15">
      <c r="A70" s="22" t="s">
        <v>126</v>
      </c>
      <c r="B70" s="22"/>
      <c r="C70" s="4">
        <v>44336</v>
      </c>
      <c r="D70" s="4"/>
      <c r="E70" s="4">
        <v>44370</v>
      </c>
      <c r="F70" s="5" t="s">
        <v>161</v>
      </c>
      <c r="G70" s="49">
        <v>17.5</v>
      </c>
      <c r="H70" s="5">
        <v>35.78</v>
      </c>
      <c r="I70" s="5">
        <f>58/30*33</f>
        <v>63.8</v>
      </c>
      <c r="J70" s="5">
        <v>50</v>
      </c>
      <c r="K70" s="5"/>
      <c r="L70" s="6">
        <v>150</v>
      </c>
      <c r="M70" s="61">
        <v>58</v>
      </c>
      <c r="N70" s="56">
        <f>(17.5+74.5*0.7)</f>
        <v>69.650000000000006</v>
      </c>
    </row>
    <row r="71" spans="1:15">
      <c r="A71" s="44" t="s">
        <v>125</v>
      </c>
      <c r="B71" s="44"/>
      <c r="C71" s="4">
        <v>44342</v>
      </c>
      <c r="D71" s="4"/>
      <c r="E71" s="4">
        <v>44386</v>
      </c>
      <c r="F71" s="5" t="s">
        <v>160</v>
      </c>
      <c r="G71" s="49">
        <v>12.5</v>
      </c>
      <c r="H71" s="5">
        <v>15.46</v>
      </c>
      <c r="I71" s="5">
        <f>36/30*43</f>
        <v>51.6</v>
      </c>
      <c r="J71" s="5">
        <f>50+45</f>
        <v>95</v>
      </c>
      <c r="K71" s="5"/>
      <c r="L71" s="6">
        <v>80</v>
      </c>
      <c r="M71" s="61">
        <v>33</v>
      </c>
      <c r="N71" s="56">
        <f>12.5+(L71-M71-12.5)*0.7</f>
        <v>36.65</v>
      </c>
    </row>
    <row r="72" spans="1:15">
      <c r="A72" s="44" t="s">
        <v>129</v>
      </c>
      <c r="B72" s="44"/>
      <c r="C72" s="4">
        <v>44348</v>
      </c>
      <c r="D72" s="4"/>
      <c r="E72" s="4">
        <v>44389</v>
      </c>
      <c r="F72" s="5" t="s">
        <v>160</v>
      </c>
      <c r="G72" s="49">
        <v>12.5</v>
      </c>
      <c r="H72" s="5">
        <v>26.22</v>
      </c>
      <c r="I72" s="5">
        <f>71/30*42</f>
        <v>99.4</v>
      </c>
      <c r="J72" s="5">
        <f>50+45</f>
        <v>95</v>
      </c>
      <c r="K72" s="5"/>
      <c r="L72" s="6">
        <v>140</v>
      </c>
      <c r="M72" s="61">
        <v>71</v>
      </c>
      <c r="N72" s="56">
        <f>(12.5+(127.5-71)*0.7)</f>
        <v>52.05</v>
      </c>
    </row>
    <row r="73" spans="1:15">
      <c r="A73" s="44" t="s">
        <v>124</v>
      </c>
      <c r="B73" s="44"/>
      <c r="C73" s="4">
        <v>44348</v>
      </c>
      <c r="D73" s="4"/>
      <c r="E73" s="4">
        <v>44389</v>
      </c>
      <c r="F73" s="40"/>
      <c r="G73" s="2"/>
      <c r="H73" s="5">
        <v>11.62</v>
      </c>
      <c r="I73" s="5">
        <f>26/30*42</f>
        <v>36.4</v>
      </c>
      <c r="J73" s="5">
        <v>65</v>
      </c>
      <c r="K73" s="5"/>
      <c r="L73" s="6">
        <v>70</v>
      </c>
      <c r="M73" s="61">
        <v>26</v>
      </c>
      <c r="N73" s="56">
        <f>(70-26)*0.7</f>
        <v>30.799999999999997</v>
      </c>
    </row>
    <row r="74" spans="1:15">
      <c r="A74" s="44" t="s">
        <v>132</v>
      </c>
      <c r="B74" s="44"/>
      <c r="C74" s="4">
        <v>44407</v>
      </c>
      <c r="D74" s="4"/>
      <c r="E74" s="4">
        <v>44461</v>
      </c>
      <c r="F74" s="40"/>
      <c r="G74" s="2"/>
      <c r="H74" s="5">
        <v>9.8800000000000008</v>
      </c>
      <c r="I74" s="5">
        <f>25/30*52</f>
        <v>43.333333333333336</v>
      </c>
      <c r="J74" s="5"/>
      <c r="K74" s="5"/>
      <c r="L74" s="6">
        <v>70</v>
      </c>
      <c r="M74" s="61">
        <v>25</v>
      </c>
      <c r="N74" s="56">
        <f>45*0.7</f>
        <v>31.499999999999996</v>
      </c>
    </row>
    <row r="75" spans="1:15">
      <c r="A75" s="44" t="s">
        <v>133</v>
      </c>
      <c r="B75" s="44"/>
      <c r="C75" s="4">
        <v>44432</v>
      </c>
      <c r="D75" s="4"/>
      <c r="E75" s="4">
        <v>44467</v>
      </c>
      <c r="F75" s="40"/>
      <c r="G75" s="2"/>
      <c r="H75" s="5">
        <v>9.8800000000000008</v>
      </c>
      <c r="I75" s="5">
        <f>25/30*34</f>
        <v>28.333333333333336</v>
      </c>
      <c r="J75" s="5"/>
      <c r="K75" s="5"/>
      <c r="L75" s="6">
        <v>70</v>
      </c>
      <c r="M75" s="61">
        <v>25</v>
      </c>
      <c r="N75" s="56">
        <f>45*0.7</f>
        <v>31.499999999999996</v>
      </c>
    </row>
    <row r="76" spans="1:15">
      <c r="A76" s="52" t="s">
        <v>141</v>
      </c>
      <c r="B76" s="52"/>
      <c r="C76" s="57">
        <v>44459</v>
      </c>
      <c r="D76" s="57"/>
      <c r="E76" s="57">
        <v>44481</v>
      </c>
      <c r="F76" s="10" t="s">
        <v>161</v>
      </c>
      <c r="G76" s="12">
        <v>10</v>
      </c>
      <c r="H76" s="25">
        <v>15.15</v>
      </c>
      <c r="I76" s="25">
        <f>46/30*22</f>
        <v>33.733333333333334</v>
      </c>
      <c r="J76" s="25">
        <v>80</v>
      </c>
      <c r="K76" s="25"/>
      <c r="L76" s="27">
        <v>120</v>
      </c>
      <c r="M76" s="64">
        <v>46</v>
      </c>
      <c r="N76" s="86">
        <f>10+(120-56)*0.7</f>
        <v>54.8</v>
      </c>
    </row>
    <row r="77" spans="1:15">
      <c r="A77" s="52" t="s">
        <v>140</v>
      </c>
      <c r="B77" s="52"/>
      <c r="C77" s="57">
        <v>44449</v>
      </c>
      <c r="D77" s="57"/>
      <c r="E77" s="57">
        <v>44482</v>
      </c>
      <c r="F77" s="25" t="s">
        <v>160</v>
      </c>
      <c r="G77" s="58">
        <v>10</v>
      </c>
      <c r="H77" s="25">
        <v>13.4</v>
      </c>
      <c r="I77" s="25">
        <f>60/30*33</f>
        <v>66</v>
      </c>
      <c r="J77" s="25">
        <v>80</v>
      </c>
      <c r="K77" s="25"/>
      <c r="L77" s="27">
        <v>120</v>
      </c>
      <c r="M77" s="64">
        <v>61</v>
      </c>
      <c r="N77" s="86">
        <f>(10+49*0.7)</f>
        <v>44.3</v>
      </c>
    </row>
    <row r="78" spans="1:15">
      <c r="A78" s="44" t="s">
        <v>137</v>
      </c>
      <c r="B78" s="44"/>
      <c r="C78" s="35">
        <v>44474</v>
      </c>
      <c r="D78" s="35"/>
      <c r="E78" s="35">
        <v>44487</v>
      </c>
      <c r="F78" s="10" t="s">
        <v>161</v>
      </c>
      <c r="G78" s="12">
        <v>12.5</v>
      </c>
      <c r="H78" s="5">
        <v>15.15</v>
      </c>
      <c r="I78" s="5">
        <f>71/30*13</f>
        <v>30.766666666666666</v>
      </c>
      <c r="J78" s="5">
        <v>95</v>
      </c>
      <c r="K78" s="5"/>
      <c r="L78" s="6">
        <v>140</v>
      </c>
      <c r="M78" s="61">
        <v>71</v>
      </c>
      <c r="N78" s="56">
        <f>12.5+(56.5)*0.7</f>
        <v>52.05</v>
      </c>
    </row>
    <row r="79" spans="1:15">
      <c r="A79" s="44" t="s">
        <v>143</v>
      </c>
      <c r="B79" s="44"/>
      <c r="C79" s="35">
        <v>43717</v>
      </c>
      <c r="D79" s="35"/>
      <c r="E79" s="35">
        <v>44505</v>
      </c>
      <c r="F79" s="40"/>
      <c r="G79" s="49"/>
      <c r="H79" s="5">
        <v>13.4</v>
      </c>
      <c r="I79" s="5">
        <f>36*25+36/30*26</f>
        <v>931.2</v>
      </c>
      <c r="J79" s="5"/>
      <c r="K79" s="5"/>
      <c r="L79" s="6">
        <v>100</v>
      </c>
      <c r="M79" s="61">
        <v>36</v>
      </c>
      <c r="N79" s="56">
        <f>(100-36)*0.7</f>
        <v>44.8</v>
      </c>
    </row>
    <row r="80" spans="1:15">
      <c r="A80" s="44" t="s">
        <v>139</v>
      </c>
      <c r="B80" s="44"/>
      <c r="C80" s="35">
        <v>44492</v>
      </c>
      <c r="D80" s="35"/>
      <c r="E80" s="35">
        <v>44539</v>
      </c>
      <c r="F80" s="40"/>
      <c r="G80" s="49"/>
      <c r="H80" s="5">
        <v>16.350000000000001</v>
      </c>
      <c r="I80" s="5">
        <f>71/30*46</f>
        <v>108.86666666666667</v>
      </c>
      <c r="J80" s="5">
        <v>95</v>
      </c>
      <c r="K80" s="5"/>
      <c r="L80" s="6">
        <v>140</v>
      </c>
      <c r="M80" s="61">
        <v>71</v>
      </c>
      <c r="N80" s="56">
        <f>(140-71)*0.7/30*21</f>
        <v>33.809999999999995</v>
      </c>
    </row>
    <row r="81" spans="1:18">
      <c r="A81" s="44" t="s">
        <v>144</v>
      </c>
      <c r="B81" s="44"/>
      <c r="C81" s="35">
        <v>44526</v>
      </c>
      <c r="D81" s="35"/>
      <c r="E81" s="35">
        <v>44550</v>
      </c>
      <c r="F81" s="5" t="s">
        <v>160</v>
      </c>
      <c r="G81" s="49">
        <v>12.5</v>
      </c>
      <c r="H81" s="5">
        <v>13.4</v>
      </c>
      <c r="I81" s="5">
        <f>83/30*24</f>
        <v>66.400000000000006</v>
      </c>
      <c r="J81" s="5"/>
      <c r="K81" s="5"/>
      <c r="L81" s="6">
        <v>140</v>
      </c>
      <c r="M81" s="61">
        <v>94</v>
      </c>
      <c r="N81" s="5">
        <f>12.5+(140-12.5-94)*0.7</f>
        <v>35.950000000000003</v>
      </c>
      <c r="O81" s="71" t="s">
        <v>302</v>
      </c>
      <c r="P81" s="71">
        <v>35.950000000000003</v>
      </c>
      <c r="Q81" s="1">
        <v>9.0500000000000007</v>
      </c>
      <c r="R81" s="16">
        <f>Q81*9</f>
        <v>81.45</v>
      </c>
    </row>
    <row r="82" spans="1:18">
      <c r="A82" s="44" t="s">
        <v>149</v>
      </c>
      <c r="B82" s="44"/>
      <c r="C82" s="35">
        <v>44880</v>
      </c>
      <c r="D82" s="35"/>
      <c r="E82" s="35">
        <v>44575</v>
      </c>
      <c r="F82" s="40"/>
      <c r="G82" s="49"/>
      <c r="H82" s="5">
        <v>13.4</v>
      </c>
      <c r="I82" s="5"/>
      <c r="J82" s="5">
        <v>50</v>
      </c>
      <c r="K82" s="5"/>
      <c r="L82" s="6">
        <v>140</v>
      </c>
      <c r="M82" s="61">
        <f>71</f>
        <v>71</v>
      </c>
      <c r="N82" s="56">
        <f>(140-71)*0.7</f>
        <v>48.3</v>
      </c>
      <c r="O82" t="s">
        <v>316</v>
      </c>
    </row>
    <row r="83" spans="1:18">
      <c r="A83" s="44" t="s">
        <v>146</v>
      </c>
      <c r="B83" s="44"/>
      <c r="C83" s="4">
        <v>44586</v>
      </c>
      <c r="D83" s="4"/>
      <c r="E83" s="4">
        <v>44615</v>
      </c>
      <c r="F83" s="10" t="s">
        <v>161</v>
      </c>
      <c r="G83" s="12">
        <v>12.5</v>
      </c>
      <c r="H83" s="5">
        <v>15.46</v>
      </c>
      <c r="I83" s="5">
        <f>27/30*28</f>
        <v>25.2</v>
      </c>
      <c r="J83" s="5">
        <v>110</v>
      </c>
      <c r="K83" s="5"/>
      <c r="L83" s="6">
        <v>124</v>
      </c>
      <c r="M83" s="61">
        <v>51</v>
      </c>
      <c r="N83" s="56">
        <f>12.5+(124-63.5)*0.7</f>
        <v>54.849999999999994</v>
      </c>
    </row>
    <row r="84" spans="1:18">
      <c r="A84" s="44" t="s">
        <v>148</v>
      </c>
      <c r="B84" s="44"/>
      <c r="C84" s="4">
        <v>44579</v>
      </c>
      <c r="D84" s="4"/>
      <c r="E84" s="4">
        <v>44594</v>
      </c>
      <c r="F84" s="40"/>
      <c r="G84" s="49"/>
      <c r="H84" s="5">
        <v>13.4</v>
      </c>
      <c r="I84" s="5">
        <f>22/30*14</f>
        <v>10.266666666666666</v>
      </c>
      <c r="J84" s="5">
        <v>30</v>
      </c>
      <c r="K84" s="5"/>
      <c r="L84" s="6">
        <v>50</v>
      </c>
      <c r="M84" s="61">
        <v>22</v>
      </c>
      <c r="N84" s="56">
        <f>(50-22)*0.7</f>
        <v>19.599999999999998</v>
      </c>
    </row>
    <row r="85" spans="1:18">
      <c r="A85" s="44" t="s">
        <v>150</v>
      </c>
      <c r="B85" s="44"/>
      <c r="C85" s="4">
        <v>44899</v>
      </c>
      <c r="D85" s="4"/>
      <c r="E85" s="4">
        <v>44607</v>
      </c>
      <c r="F85" s="12" t="s">
        <v>160</v>
      </c>
      <c r="G85" s="12">
        <v>12.5</v>
      </c>
      <c r="H85" s="5">
        <v>13.4</v>
      </c>
      <c r="I85" s="5">
        <f>71/30*61</f>
        <v>144.36666666666667</v>
      </c>
      <c r="J85" s="5">
        <v>80</v>
      </c>
      <c r="K85" s="5"/>
      <c r="L85" s="6">
        <v>120</v>
      </c>
      <c r="M85" s="61">
        <v>60</v>
      </c>
      <c r="N85" s="56">
        <f>12.5+(120-72.5)*0.7</f>
        <v>45.75</v>
      </c>
    </row>
    <row r="86" spans="1:18">
      <c r="A86" s="44" t="s">
        <v>151</v>
      </c>
      <c r="B86" s="44"/>
      <c r="C86" s="4">
        <v>44926</v>
      </c>
      <c r="D86" s="4"/>
      <c r="E86" s="4">
        <v>44649</v>
      </c>
      <c r="F86" s="40"/>
      <c r="G86" s="40"/>
      <c r="H86" s="5">
        <v>9.0299999999999994</v>
      </c>
      <c r="I86" s="5">
        <f>25*2+25/30*29</f>
        <v>74.166666666666671</v>
      </c>
      <c r="J86" s="5">
        <v>80</v>
      </c>
      <c r="K86" s="5"/>
      <c r="L86" s="6">
        <v>67.5</v>
      </c>
      <c r="M86" s="61">
        <v>25</v>
      </c>
      <c r="N86" s="56">
        <f>(67.5-25)*0.7</f>
        <v>29.749999999999996</v>
      </c>
    </row>
    <row r="87" spans="1:18">
      <c r="A87" s="44" t="s">
        <v>152</v>
      </c>
      <c r="B87" s="44"/>
      <c r="C87" s="4">
        <v>44852</v>
      </c>
      <c r="D87" s="4"/>
      <c r="E87" s="4">
        <v>44649</v>
      </c>
      <c r="F87" s="40"/>
      <c r="G87" s="40"/>
      <c r="H87" s="5">
        <v>9.0299999999999994</v>
      </c>
      <c r="I87" s="5">
        <f>45*4+45/30*13</f>
        <v>199.5</v>
      </c>
      <c r="J87" s="5">
        <v>80</v>
      </c>
      <c r="K87" s="5"/>
      <c r="L87" s="6">
        <v>67.5</v>
      </c>
      <c r="M87" s="61">
        <v>45</v>
      </c>
      <c r="N87" s="56">
        <f>(L87-M87)*0.7</f>
        <v>15.749999999999998</v>
      </c>
    </row>
    <row r="88" spans="1:18">
      <c r="A88" s="44" t="s">
        <v>153</v>
      </c>
      <c r="B88" s="44"/>
      <c r="C88" s="4">
        <v>44623</v>
      </c>
      <c r="D88" s="4"/>
      <c r="E88" s="4">
        <v>44623</v>
      </c>
      <c r="F88" s="40"/>
      <c r="G88" s="40"/>
      <c r="H88" s="5">
        <v>11.03</v>
      </c>
      <c r="I88" s="5">
        <v>0</v>
      </c>
      <c r="J88" s="5">
        <v>15</v>
      </c>
      <c r="K88" s="5"/>
      <c r="L88" s="6">
        <v>30</v>
      </c>
      <c r="M88" s="61">
        <v>12</v>
      </c>
      <c r="N88" s="56">
        <f>(L88-M88)*0.7</f>
        <v>12.6</v>
      </c>
    </row>
    <row r="89" spans="1:18">
      <c r="A89" s="44" t="s">
        <v>154</v>
      </c>
      <c r="B89" s="44"/>
      <c r="C89" s="4">
        <v>44881</v>
      </c>
      <c r="D89" s="4"/>
      <c r="E89" s="4">
        <v>44628</v>
      </c>
      <c r="F89" s="40"/>
      <c r="G89" s="40"/>
      <c r="H89" s="5">
        <v>9.0299999999999994</v>
      </c>
      <c r="I89" s="5">
        <f>65*3+65/30*22</f>
        <v>242.66666666666666</v>
      </c>
      <c r="J89" s="5">
        <v>95</v>
      </c>
      <c r="K89" s="5"/>
      <c r="L89" s="6">
        <v>112</v>
      </c>
      <c r="M89" s="61">
        <v>65</v>
      </c>
      <c r="N89" s="56">
        <f>(L89-M89)*0.7</f>
        <v>32.9</v>
      </c>
    </row>
    <row r="90" spans="1:18">
      <c r="A90" s="44" t="s">
        <v>155</v>
      </c>
      <c r="B90" s="44"/>
      <c r="C90" s="4">
        <v>44490</v>
      </c>
      <c r="D90" s="4"/>
      <c r="E90" s="4">
        <v>44648</v>
      </c>
      <c r="F90" s="40"/>
      <c r="G90" s="40"/>
      <c r="H90" s="5">
        <v>13.4</v>
      </c>
      <c r="I90" s="5">
        <f>45*5+45/30*7</f>
        <v>235.5</v>
      </c>
      <c r="J90" s="5">
        <v>80</v>
      </c>
      <c r="K90" s="5"/>
      <c r="L90" s="6">
        <v>67.5</v>
      </c>
      <c r="M90" s="61">
        <v>45</v>
      </c>
      <c r="N90" s="56">
        <f>(L90-M90)*0.7</f>
        <v>15.749999999999998</v>
      </c>
    </row>
    <row r="91" spans="1:18">
      <c r="A91" s="44" t="s">
        <v>156</v>
      </c>
      <c r="B91" s="44"/>
      <c r="C91" s="4">
        <v>44489</v>
      </c>
      <c r="D91" s="4"/>
      <c r="E91" s="4">
        <v>44651</v>
      </c>
      <c r="F91" s="40"/>
      <c r="G91" s="40"/>
      <c r="H91" s="5">
        <v>15.46</v>
      </c>
      <c r="I91" s="5">
        <f>50*5+50/10</f>
        <v>255</v>
      </c>
      <c r="J91" s="5">
        <v>145</v>
      </c>
      <c r="K91" s="5"/>
      <c r="L91" s="6">
        <v>125</v>
      </c>
      <c r="M91" s="61">
        <v>50</v>
      </c>
      <c r="N91" s="56">
        <f>(L91-M91)*0.7</f>
        <v>52.5</v>
      </c>
    </row>
    <row r="92" spans="1:18">
      <c r="A92" s="44" t="s">
        <v>157</v>
      </c>
      <c r="B92" s="44"/>
      <c r="C92" s="4">
        <v>44627</v>
      </c>
      <c r="D92" s="4"/>
      <c r="E92" s="4">
        <v>44627</v>
      </c>
      <c r="F92" s="10" t="s">
        <v>161</v>
      </c>
      <c r="G92" s="12">
        <v>10</v>
      </c>
      <c r="H92" s="5">
        <v>15.46</v>
      </c>
      <c r="I92" s="5">
        <v>0</v>
      </c>
      <c r="J92" s="5">
        <v>0</v>
      </c>
      <c r="K92" s="5"/>
      <c r="L92" s="6">
        <v>100</v>
      </c>
      <c r="M92" s="61">
        <v>44</v>
      </c>
      <c r="N92" s="56">
        <f>10+(46)*0.7</f>
        <v>42.199999999999996</v>
      </c>
    </row>
    <row r="93" spans="1:18">
      <c r="A93" s="44" t="s">
        <v>158</v>
      </c>
      <c r="B93" s="44"/>
      <c r="C93" s="4">
        <v>44627</v>
      </c>
      <c r="D93" s="4"/>
      <c r="E93" s="4">
        <v>44627</v>
      </c>
      <c r="F93" s="10" t="s">
        <v>161</v>
      </c>
      <c r="G93" s="12">
        <v>12.5</v>
      </c>
      <c r="H93" s="5">
        <v>15.46</v>
      </c>
      <c r="I93" s="5">
        <v>0</v>
      </c>
      <c r="J93" s="5">
        <v>0</v>
      </c>
      <c r="K93" s="5"/>
      <c r="L93" s="6">
        <v>125</v>
      </c>
      <c r="M93" s="61">
        <v>55</v>
      </c>
      <c r="N93" s="56">
        <f>12.5+(57.5)*0.7</f>
        <v>52.75</v>
      </c>
    </row>
    <row r="94" spans="1:18">
      <c r="A94" s="44" t="s">
        <v>168</v>
      </c>
      <c r="B94" s="44"/>
      <c r="C94" s="4">
        <v>44636</v>
      </c>
      <c r="D94" s="4"/>
      <c r="E94" s="4">
        <v>44659</v>
      </c>
      <c r="F94" s="40"/>
      <c r="G94" s="5"/>
      <c r="H94" s="5">
        <v>13.72</v>
      </c>
      <c r="I94" s="5">
        <f>55/30*24</f>
        <v>44</v>
      </c>
      <c r="J94" s="5">
        <v>80</v>
      </c>
      <c r="K94" s="5"/>
      <c r="L94" s="6">
        <v>120</v>
      </c>
      <c r="M94" s="61">
        <v>55</v>
      </c>
      <c r="N94" s="56">
        <f>10+(110-M94)*0.7</f>
        <v>48.5</v>
      </c>
    </row>
    <row r="95" spans="1:18">
      <c r="A95" s="44" t="s">
        <v>171</v>
      </c>
      <c r="B95" s="44"/>
      <c r="C95" s="4">
        <v>44648</v>
      </c>
      <c r="D95" s="4"/>
      <c r="E95" s="4">
        <v>44734</v>
      </c>
      <c r="F95" s="40"/>
      <c r="G95" s="5"/>
      <c r="H95" s="5">
        <v>13.72</v>
      </c>
      <c r="I95" s="5">
        <f>56/30*84</f>
        <v>156.80000000000001</v>
      </c>
      <c r="J95" s="5">
        <v>95</v>
      </c>
      <c r="K95" s="5"/>
      <c r="L95" s="6">
        <v>140</v>
      </c>
      <c r="M95" s="61">
        <v>56</v>
      </c>
      <c r="N95" s="56">
        <f>(140-56)*0.7</f>
        <v>58.8</v>
      </c>
    </row>
    <row r="96" spans="1:18">
      <c r="A96" s="44" t="s">
        <v>172</v>
      </c>
      <c r="B96" s="44"/>
      <c r="C96" s="4">
        <v>44705</v>
      </c>
      <c r="D96" s="4"/>
      <c r="E96" s="4">
        <v>44715</v>
      </c>
      <c r="F96" s="40"/>
      <c r="G96" s="5"/>
      <c r="H96" s="5">
        <v>10.039999999999999</v>
      </c>
      <c r="I96" s="5">
        <f>25/30*9</f>
        <v>7.5</v>
      </c>
      <c r="J96" s="5"/>
      <c r="K96" s="5"/>
      <c r="L96" s="6">
        <v>50</v>
      </c>
      <c r="M96" s="61">
        <v>25</v>
      </c>
      <c r="N96" s="56">
        <f>(50-25)*0.7</f>
        <v>17.5</v>
      </c>
    </row>
    <row r="97" spans="1:18">
      <c r="A97" s="44" t="s">
        <v>173</v>
      </c>
      <c r="B97" s="44"/>
      <c r="C97" s="4">
        <v>44704</v>
      </c>
      <c r="D97" s="4"/>
      <c r="E97" s="4">
        <v>44721</v>
      </c>
      <c r="F97" s="10" t="s">
        <v>161</v>
      </c>
      <c r="G97" s="56">
        <v>12.5</v>
      </c>
      <c r="H97" s="5">
        <v>13.72</v>
      </c>
      <c r="I97" s="5">
        <f>37/30*16</f>
        <v>19.733333333333334</v>
      </c>
      <c r="J97" s="5">
        <f>50+45</f>
        <v>95</v>
      </c>
      <c r="K97" s="5"/>
      <c r="L97" s="6">
        <v>110</v>
      </c>
      <c r="M97" s="61">
        <v>37</v>
      </c>
      <c r="N97" s="56">
        <f>12.5+(97.5-37)*0.7</f>
        <v>54.849999999999994</v>
      </c>
    </row>
    <row r="98" spans="1:18">
      <c r="A98" s="44" t="s">
        <v>174</v>
      </c>
      <c r="B98" s="44"/>
      <c r="C98" s="4">
        <v>44715</v>
      </c>
      <c r="D98" s="4"/>
      <c r="E98" s="4">
        <v>44820</v>
      </c>
      <c r="F98" s="10" t="s">
        <v>161</v>
      </c>
      <c r="G98" s="56">
        <v>15</v>
      </c>
      <c r="H98" s="5">
        <v>14.6</v>
      </c>
      <c r="I98" s="5">
        <f>56/30*103</f>
        <v>192.26666666666668</v>
      </c>
      <c r="J98" s="5">
        <v>50</v>
      </c>
      <c r="K98" s="5"/>
      <c r="L98" s="6">
        <f>130</f>
        <v>130</v>
      </c>
      <c r="M98" s="61">
        <v>56</v>
      </c>
      <c r="N98" s="56">
        <f>15+(115-56)*0.7</f>
        <v>56.3</v>
      </c>
    </row>
    <row r="99" spans="1:18">
      <c r="A99" s="44" t="s">
        <v>183</v>
      </c>
      <c r="B99" s="44"/>
      <c r="C99" s="4">
        <v>44749</v>
      </c>
      <c r="D99" s="4">
        <v>44830</v>
      </c>
      <c r="E99" s="4">
        <v>44858</v>
      </c>
      <c r="F99" s="40"/>
      <c r="G99" s="5"/>
      <c r="H99" s="5">
        <v>11.03</v>
      </c>
      <c r="I99" s="5">
        <v>25</v>
      </c>
      <c r="J99" s="5">
        <v>15</v>
      </c>
      <c r="K99" s="5"/>
      <c r="L99" s="6">
        <v>80</v>
      </c>
      <c r="M99" s="61">
        <v>25</v>
      </c>
      <c r="N99" s="56">
        <f>55*0.7</f>
        <v>38.5</v>
      </c>
    </row>
    <row r="100" spans="1:18">
      <c r="A100" s="44" t="s">
        <v>184</v>
      </c>
      <c r="B100" s="44"/>
      <c r="C100" s="4">
        <v>44775</v>
      </c>
      <c r="D100" s="4">
        <v>44810</v>
      </c>
      <c r="E100" s="4">
        <v>44848</v>
      </c>
      <c r="F100" s="10" t="s">
        <v>161</v>
      </c>
      <c r="G100" s="5"/>
      <c r="H100" s="5">
        <v>23.38</v>
      </c>
      <c r="I100" s="5">
        <f>100/30*38</f>
        <v>126.66666666666667</v>
      </c>
      <c r="J100" s="5">
        <v>155</v>
      </c>
      <c r="K100" s="5"/>
      <c r="L100" s="6">
        <v>220</v>
      </c>
      <c r="M100" s="61">
        <v>100</v>
      </c>
      <c r="N100" s="5">
        <f>22.5+(220-22.5-100)*0.7</f>
        <v>90.75</v>
      </c>
      <c r="O100" s="71" t="s">
        <v>303</v>
      </c>
      <c r="P100" s="71">
        <v>90.75</v>
      </c>
      <c r="Q100" s="1">
        <v>6.75</v>
      </c>
      <c r="R100" s="16">
        <f>Q100*12</f>
        <v>81</v>
      </c>
    </row>
    <row r="101" spans="1:18">
      <c r="A101" s="44" t="s">
        <v>185</v>
      </c>
      <c r="B101" s="44"/>
      <c r="C101" s="4">
        <v>44830</v>
      </c>
      <c r="D101" s="4">
        <v>44852</v>
      </c>
      <c r="E101" s="4">
        <v>44858</v>
      </c>
      <c r="F101" s="10" t="s">
        <v>161</v>
      </c>
      <c r="G101" s="12">
        <v>12.5</v>
      </c>
      <c r="H101" s="5">
        <v>23.38</v>
      </c>
      <c r="I101" s="5">
        <f>54.5/30*6</f>
        <v>10.9</v>
      </c>
      <c r="J101" s="5">
        <v>95</v>
      </c>
      <c r="K101" s="5"/>
      <c r="L101" s="6">
        <v>140</v>
      </c>
      <c r="M101" s="61">
        <v>55.5</v>
      </c>
      <c r="N101" s="56">
        <f>12.5+(127.5-55.5)*0.7</f>
        <v>62.9</v>
      </c>
      <c r="O101" t="s">
        <v>282</v>
      </c>
    </row>
    <row r="102" spans="1:18">
      <c r="A102" s="44" t="s">
        <v>190</v>
      </c>
      <c r="B102" s="44"/>
      <c r="C102" s="4"/>
      <c r="D102" s="4">
        <v>44879</v>
      </c>
      <c r="E102" s="35">
        <v>44887</v>
      </c>
      <c r="F102" s="10" t="s">
        <v>161</v>
      </c>
      <c r="G102" s="56">
        <v>10</v>
      </c>
      <c r="H102" s="5">
        <v>14.6</v>
      </c>
      <c r="I102" s="5">
        <f>34/30*8</f>
        <v>9.0666666666666664</v>
      </c>
      <c r="J102" s="5">
        <v>45</v>
      </c>
      <c r="K102" s="5"/>
      <c r="L102" s="6">
        <v>90</v>
      </c>
      <c r="M102" s="61">
        <v>34</v>
      </c>
      <c r="N102" s="56">
        <f>10+(80-34)*0.7</f>
        <v>42.199999999999996</v>
      </c>
    </row>
    <row r="103" spans="1:18">
      <c r="A103" s="44" t="s">
        <v>193</v>
      </c>
      <c r="B103" s="44"/>
      <c r="C103" s="4">
        <v>44872</v>
      </c>
      <c r="D103" s="4">
        <v>44879</v>
      </c>
      <c r="E103" s="35">
        <v>44882</v>
      </c>
      <c r="F103" s="40"/>
      <c r="G103" s="5"/>
      <c r="H103" s="5">
        <v>10.039999999999999</v>
      </c>
      <c r="I103" s="5">
        <f>25/30*3</f>
        <v>2.5</v>
      </c>
      <c r="J103" s="5"/>
      <c r="K103" s="5"/>
      <c r="L103" s="6">
        <v>40</v>
      </c>
      <c r="M103" s="61">
        <v>25</v>
      </c>
      <c r="N103" s="56">
        <f>(L103-M103)*0.7</f>
        <v>10.5</v>
      </c>
    </row>
    <row r="104" spans="1:18">
      <c r="A104" s="44" t="s">
        <v>213</v>
      </c>
      <c r="B104" s="44"/>
      <c r="C104" s="4">
        <v>44894</v>
      </c>
      <c r="D104" s="4">
        <v>44908</v>
      </c>
      <c r="E104" s="35">
        <v>44944</v>
      </c>
      <c r="F104" s="40" t="s">
        <v>161</v>
      </c>
      <c r="G104" s="5">
        <v>15</v>
      </c>
      <c r="H104" s="5">
        <v>31.72</v>
      </c>
      <c r="I104" s="5">
        <f>50/30*35</f>
        <v>58.333333333333336</v>
      </c>
      <c r="J104" s="5">
        <f>60+50</f>
        <v>110</v>
      </c>
      <c r="K104" s="5"/>
      <c r="L104" s="6">
        <v>130</v>
      </c>
      <c r="M104" s="61">
        <f>19+2+3.5*2+11*2</f>
        <v>50</v>
      </c>
      <c r="N104" s="97">
        <f>15+(L104-M104-15)*0.7</f>
        <v>60.5</v>
      </c>
    </row>
    <row r="105" spans="1:18">
      <c r="A105" s="44" t="s">
        <v>227</v>
      </c>
      <c r="B105" s="44"/>
      <c r="C105" s="4">
        <v>44949</v>
      </c>
      <c r="D105" s="4">
        <v>44953</v>
      </c>
      <c r="E105" s="35">
        <v>44966</v>
      </c>
      <c r="F105" s="40" t="s">
        <v>160</v>
      </c>
      <c r="G105" s="5">
        <v>15</v>
      </c>
      <c r="H105" s="5">
        <v>16.38</v>
      </c>
      <c r="I105" s="5">
        <f>61.5/30*12</f>
        <v>24.599999999999998</v>
      </c>
      <c r="J105" s="5">
        <f>50+60</f>
        <v>110</v>
      </c>
      <c r="K105" s="5"/>
      <c r="L105" s="6">
        <v>160</v>
      </c>
      <c r="M105" s="65">
        <f>32.5+7+22</f>
        <v>61.5</v>
      </c>
      <c r="N105" s="97">
        <f>15+(L105-M105-15)*0.7</f>
        <v>73.449999999999989</v>
      </c>
    </row>
    <row r="106" spans="1:18">
      <c r="A106" s="44" t="s">
        <v>228</v>
      </c>
      <c r="B106" s="44"/>
      <c r="C106" s="4">
        <v>44957</v>
      </c>
      <c r="D106" s="4">
        <v>44957</v>
      </c>
      <c r="E106" s="35">
        <v>44977</v>
      </c>
      <c r="F106" s="40"/>
      <c r="G106" s="5"/>
      <c r="H106" s="5">
        <v>20.61</v>
      </c>
      <c r="I106" s="5">
        <f>66/30*20</f>
        <v>44</v>
      </c>
      <c r="J106" s="5">
        <v>90</v>
      </c>
      <c r="K106" s="5"/>
      <c r="L106" s="6">
        <v>155</v>
      </c>
      <c r="M106" s="65">
        <v>54</v>
      </c>
      <c r="N106" s="97">
        <f>(L106-M106)*0.7</f>
        <v>70.699999999999989</v>
      </c>
    </row>
    <row r="107" spans="1:18">
      <c r="A107" s="44" t="s">
        <v>255</v>
      </c>
      <c r="B107" s="44"/>
      <c r="C107" s="35">
        <v>44691</v>
      </c>
      <c r="D107" s="35">
        <v>44994</v>
      </c>
      <c r="E107" s="4">
        <v>44994</v>
      </c>
      <c r="F107" s="40"/>
      <c r="G107" s="40"/>
      <c r="H107" s="5">
        <v>11.03</v>
      </c>
      <c r="I107" s="40">
        <f>25*14</f>
        <v>350</v>
      </c>
      <c r="J107" s="40">
        <f>30+50</f>
        <v>80</v>
      </c>
      <c r="K107" s="40"/>
      <c r="L107" s="6">
        <v>90</v>
      </c>
      <c r="M107" s="6">
        <v>25</v>
      </c>
      <c r="N107" s="98">
        <f>10+(90-10-25)*0.7</f>
        <v>48.5</v>
      </c>
      <c r="O107" s="71" t="s">
        <v>306</v>
      </c>
      <c r="P107" s="71">
        <v>48.5</v>
      </c>
      <c r="Q107" s="1">
        <v>5</v>
      </c>
      <c r="R107" s="16">
        <f>Q107*8</f>
        <v>40</v>
      </c>
    </row>
    <row r="108" spans="1:18">
      <c r="A108" s="44" t="s">
        <v>187</v>
      </c>
      <c r="B108" s="44"/>
      <c r="C108" s="35"/>
      <c r="D108" s="35">
        <v>44991</v>
      </c>
      <c r="E108" s="4">
        <v>44991</v>
      </c>
      <c r="F108" s="40"/>
      <c r="G108" s="40"/>
      <c r="H108" s="5">
        <v>13.31</v>
      </c>
      <c r="I108" s="40"/>
      <c r="J108" s="40">
        <v>45</v>
      </c>
      <c r="K108" s="40"/>
      <c r="L108" s="6">
        <v>80</v>
      </c>
      <c r="M108" s="6">
        <v>27</v>
      </c>
      <c r="N108" s="97">
        <f>(L108-M108)*0.7</f>
        <v>37.099999999999994</v>
      </c>
      <c r="O108" t="s">
        <v>318</v>
      </c>
    </row>
    <row r="109" spans="1:18">
      <c r="A109" s="44" t="s">
        <v>276</v>
      </c>
      <c r="B109" s="44"/>
      <c r="C109" s="35">
        <v>45061</v>
      </c>
      <c r="D109" s="35">
        <v>45070</v>
      </c>
      <c r="E109" s="4"/>
      <c r="F109" s="40"/>
      <c r="G109" s="40"/>
      <c r="H109" s="5">
        <v>11.48</v>
      </c>
      <c r="I109" s="40">
        <f>21/30*9</f>
        <v>6.3</v>
      </c>
      <c r="J109" s="40"/>
      <c r="K109" s="40"/>
      <c r="L109" s="17">
        <f>50</f>
        <v>50</v>
      </c>
      <c r="M109" s="18">
        <v>21</v>
      </c>
      <c r="N109" s="89">
        <f>(50-21)*0.7</f>
        <v>20.299999999999997</v>
      </c>
    </row>
    <row r="110" spans="1:18">
      <c r="A110" s="44" t="s">
        <v>279</v>
      </c>
      <c r="B110" s="44"/>
      <c r="C110" s="35">
        <v>45065</v>
      </c>
      <c r="D110" s="35">
        <v>45070</v>
      </c>
      <c r="E110" s="4"/>
      <c r="F110" s="40"/>
      <c r="G110" s="40"/>
      <c r="H110" s="5">
        <v>11.48</v>
      </c>
      <c r="I110" s="40">
        <f>21/30*5</f>
        <v>3.5</v>
      </c>
      <c r="J110" s="40"/>
      <c r="K110" s="40"/>
      <c r="L110" s="17">
        <f>50</f>
        <v>50</v>
      </c>
      <c r="M110" s="18">
        <v>21</v>
      </c>
      <c r="N110" s="89">
        <f>(50-21)*0.7</f>
        <v>20.299999999999997</v>
      </c>
    </row>
    <row r="111" spans="1:18">
      <c r="A111" s="44" t="s">
        <v>278</v>
      </c>
      <c r="B111" s="44"/>
      <c r="C111" s="57">
        <v>44973</v>
      </c>
      <c r="D111" s="57">
        <v>45070</v>
      </c>
      <c r="E111" s="24"/>
      <c r="F111" s="48"/>
      <c r="G111" s="48"/>
      <c r="H111" s="25">
        <v>11.48</v>
      </c>
      <c r="I111" s="48">
        <f>21/30*98</f>
        <v>68.599999999999994</v>
      </c>
      <c r="J111" s="48"/>
      <c r="K111" s="48"/>
      <c r="L111" s="17">
        <v>50</v>
      </c>
      <c r="M111" s="26">
        <v>21</v>
      </c>
      <c r="N111" s="100">
        <f>(50-21)*0.7</f>
        <v>20.299999999999997</v>
      </c>
    </row>
    <row r="112" spans="1:18">
      <c r="A112" s="40" t="s">
        <v>304</v>
      </c>
      <c r="B112" s="44"/>
      <c r="C112" s="35"/>
      <c r="D112" s="35"/>
      <c r="E112" s="4"/>
      <c r="F112" s="40"/>
      <c r="G112" s="40"/>
      <c r="H112" s="5">
        <v>11.48</v>
      </c>
      <c r="I112" s="40"/>
      <c r="J112" s="40">
        <v>15</v>
      </c>
      <c r="K112" s="40"/>
      <c r="L112" s="6">
        <v>30</v>
      </c>
      <c r="M112" s="6">
        <v>11</v>
      </c>
      <c r="N112" s="97">
        <f>(L112-M112)*0.7</f>
        <v>13.299999999999999</v>
      </c>
      <c r="O112" s="71" t="s">
        <v>305</v>
      </c>
      <c r="P112" s="71">
        <v>14.7</v>
      </c>
      <c r="Q112" s="1">
        <f>P112-N112</f>
        <v>1.4000000000000004</v>
      </c>
      <c r="R112" s="16">
        <f>Q112*9-15-11.48</f>
        <v>-13.879999999999997</v>
      </c>
    </row>
    <row r="113" spans="1:18">
      <c r="C113" s="36"/>
      <c r="D113" s="36"/>
      <c r="F113" s="28"/>
      <c r="G113" s="28"/>
      <c r="H113" s="30"/>
      <c r="I113" s="28"/>
      <c r="M113" s="68" t="s">
        <v>4</v>
      </c>
      <c r="N113" s="18">
        <f>SUM(N2:N112)</f>
        <v>4255.1100000000015</v>
      </c>
      <c r="O113" t="s">
        <v>317</v>
      </c>
      <c r="Q113" s="99">
        <f>SUM(Q2:Q112)</f>
        <v>120.2</v>
      </c>
      <c r="R113" s="99">
        <f>SUM(R2:R112)</f>
        <v>543.47000000000014</v>
      </c>
    </row>
    <row r="114" spans="1:18">
      <c r="C114" s="36"/>
      <c r="D114" s="36"/>
      <c r="F114" s="28"/>
      <c r="G114" s="28"/>
      <c r="H114" s="30"/>
      <c r="I114" s="28"/>
      <c r="M114" s="66" t="s">
        <v>251</v>
      </c>
      <c r="N114" s="1">
        <f>N113</f>
        <v>4255.1100000000015</v>
      </c>
    </row>
    <row r="115" spans="1:18">
      <c r="C115" s="36"/>
      <c r="D115" s="36"/>
      <c r="F115" s="28"/>
      <c r="G115" s="28"/>
      <c r="H115" s="30"/>
      <c r="I115" s="28"/>
    </row>
    <row r="117" spans="1:18">
      <c r="A117" s="28"/>
      <c r="B117" s="28"/>
      <c r="E117" s="15"/>
      <c r="F117" s="1"/>
      <c r="G117" s="1"/>
      <c r="H117" s="1"/>
      <c r="I117" s="1"/>
      <c r="J117" s="1"/>
      <c r="K117" s="1"/>
      <c r="L117" s="1"/>
      <c r="M117" s="67"/>
      <c r="N117" s="29"/>
    </row>
    <row r="119" spans="1:18">
      <c r="H119" s="30"/>
    </row>
    <row r="120" spans="1:18">
      <c r="I120" s="42"/>
    </row>
    <row r="121" spans="1:18">
      <c r="L121" t="s">
        <v>281</v>
      </c>
    </row>
    <row r="123" spans="1:18">
      <c r="L123" t="s">
        <v>277</v>
      </c>
    </row>
  </sheetData>
  <autoFilter ref="A1:R1"/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>
  <dimension ref="A1:P122"/>
  <sheetViews>
    <sheetView topLeftCell="A107" workbookViewId="0">
      <selection activeCell="L122" sqref="L122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3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5"/>
      <c r="J2" s="5"/>
      <c r="K2" s="5">
        <f>F2+H2+J2</f>
        <v>10</v>
      </c>
      <c r="L2" s="6">
        <v>40</v>
      </c>
      <c r="M2" s="61">
        <v>25</v>
      </c>
      <c r="N2" s="6">
        <f t="shared" ref="N2:N34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5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5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9" t="s">
        <v>18</v>
      </c>
      <c r="B5" s="9"/>
      <c r="C5" s="2"/>
      <c r="D5" s="2"/>
      <c r="E5" s="4">
        <v>42335</v>
      </c>
      <c r="F5" s="5"/>
      <c r="G5" s="49"/>
      <c r="H5" s="5"/>
      <c r="I5" s="5"/>
      <c r="J5" s="5"/>
      <c r="K5" s="5"/>
      <c r="L5" s="6">
        <v>90</v>
      </c>
      <c r="M5" s="61">
        <v>25</v>
      </c>
      <c r="N5" s="6">
        <f t="shared" si="0"/>
        <v>45.5</v>
      </c>
    </row>
    <row r="6" spans="1:15">
      <c r="A6" s="2" t="s">
        <v>16</v>
      </c>
      <c r="B6" s="2"/>
      <c r="C6" s="2"/>
      <c r="D6" s="2"/>
      <c r="E6" s="4">
        <v>42396</v>
      </c>
      <c r="F6" s="5"/>
      <c r="G6" s="49"/>
      <c r="H6" s="5"/>
      <c r="I6" s="5"/>
      <c r="J6" s="5"/>
      <c r="K6" s="5"/>
      <c r="L6" s="6">
        <v>50</v>
      </c>
      <c r="M6" s="61">
        <v>22</v>
      </c>
      <c r="N6" s="6">
        <f t="shared" si="0"/>
        <v>19.599999999999998</v>
      </c>
    </row>
    <row r="7" spans="1:15">
      <c r="A7" s="2" t="s">
        <v>22</v>
      </c>
      <c r="B7" s="2"/>
      <c r="C7" s="4">
        <v>42546</v>
      </c>
      <c r="D7" s="4"/>
      <c r="E7" s="4">
        <v>42571</v>
      </c>
      <c r="F7" s="5"/>
      <c r="G7" s="49"/>
      <c r="H7" s="5">
        <f>6.9+8.5</f>
        <v>15.4</v>
      </c>
      <c r="I7" s="5">
        <f>25*25/30</f>
        <v>20.833333333333332</v>
      </c>
      <c r="J7" s="5"/>
      <c r="K7" s="5"/>
      <c r="L7" s="6">
        <v>120</v>
      </c>
      <c r="M7" s="61">
        <v>25</v>
      </c>
      <c r="N7" s="6">
        <f t="shared" si="0"/>
        <v>66.5</v>
      </c>
    </row>
    <row r="8" spans="1:15">
      <c r="A8" s="2" t="s">
        <v>23</v>
      </c>
      <c r="B8" s="2"/>
      <c r="C8" s="4">
        <v>42560</v>
      </c>
      <c r="D8" s="4"/>
      <c r="E8" s="4">
        <v>42571</v>
      </c>
      <c r="F8" s="5"/>
      <c r="G8" s="49"/>
      <c r="H8" s="5">
        <v>8.5</v>
      </c>
      <c r="I8" s="5">
        <f>25*41/30</f>
        <v>34.166666666666664</v>
      </c>
      <c r="J8" s="5"/>
      <c r="K8" s="5"/>
      <c r="L8" s="6">
        <v>107.5</v>
      </c>
      <c r="M8" s="61">
        <v>25</v>
      </c>
      <c r="N8" s="6">
        <f t="shared" si="0"/>
        <v>57.749999999999993</v>
      </c>
    </row>
    <row r="9" spans="1:15">
      <c r="A9" s="2" t="s">
        <v>24</v>
      </c>
      <c r="B9" s="2"/>
      <c r="C9" s="4">
        <v>42530</v>
      </c>
      <c r="D9" s="4"/>
      <c r="E9" s="4">
        <v>42579</v>
      </c>
      <c r="F9" s="5"/>
      <c r="G9" s="49"/>
      <c r="H9" s="5">
        <f>8.5+6.9</f>
        <v>15.4</v>
      </c>
      <c r="I9" s="5">
        <f>25*52/30</f>
        <v>43.333333333333336</v>
      </c>
      <c r="J9" s="5"/>
      <c r="K9" s="5"/>
      <c r="L9" s="6">
        <v>90</v>
      </c>
      <c r="M9" s="61">
        <v>25</v>
      </c>
      <c r="N9" s="6">
        <f t="shared" si="0"/>
        <v>45.5</v>
      </c>
    </row>
    <row r="10" spans="1:15">
      <c r="A10" s="2" t="s">
        <v>26</v>
      </c>
      <c r="B10" s="2"/>
      <c r="C10" s="4">
        <v>42633</v>
      </c>
      <c r="D10" s="4"/>
      <c r="E10" s="4">
        <v>42644</v>
      </c>
      <c r="F10" s="5"/>
      <c r="G10" s="49"/>
      <c r="H10" s="5">
        <v>8.17</v>
      </c>
      <c r="I10" s="5">
        <f>25/30*10</f>
        <v>8.3333333333333339</v>
      </c>
      <c r="J10" s="5"/>
      <c r="K10" s="5"/>
      <c r="L10" s="6">
        <v>70</v>
      </c>
      <c r="M10" s="61">
        <v>25</v>
      </c>
      <c r="N10" s="6">
        <f t="shared" si="0"/>
        <v>31.499999999999996</v>
      </c>
    </row>
    <row r="11" spans="1:15">
      <c r="A11" s="2" t="s">
        <v>27</v>
      </c>
      <c r="B11" s="2"/>
      <c r="C11" s="4">
        <v>42656</v>
      </c>
      <c r="D11" s="4"/>
      <c r="E11" s="4">
        <v>42705</v>
      </c>
      <c r="F11" s="5"/>
      <c r="G11" s="49"/>
      <c r="H11" s="5">
        <v>8.17</v>
      </c>
      <c r="I11" s="5">
        <f>M11/30*47</f>
        <v>39.166666666666671</v>
      </c>
      <c r="J11" s="5"/>
      <c r="K11" s="5"/>
      <c r="L11" s="6">
        <v>40</v>
      </c>
      <c r="M11" s="62">
        <v>25</v>
      </c>
      <c r="N11" s="18">
        <f t="shared" si="0"/>
        <v>10.5</v>
      </c>
    </row>
    <row r="12" spans="1:15">
      <c r="A12" s="2" t="s">
        <v>29</v>
      </c>
      <c r="B12" s="2"/>
      <c r="C12" s="4">
        <v>42683</v>
      </c>
      <c r="D12" s="4"/>
      <c r="E12" s="4">
        <v>42718</v>
      </c>
      <c r="F12" s="5"/>
      <c r="G12" s="49"/>
      <c r="H12" s="5">
        <v>8.9700000000000006</v>
      </c>
      <c r="I12" s="5">
        <f>M12/30*35</f>
        <v>42</v>
      </c>
      <c r="J12" s="5"/>
      <c r="K12" s="5"/>
      <c r="L12" s="6">
        <f>105</f>
        <v>105</v>
      </c>
      <c r="M12" s="62">
        <v>36</v>
      </c>
      <c r="N12" s="18">
        <f t="shared" si="0"/>
        <v>48.3</v>
      </c>
    </row>
    <row r="13" spans="1:15">
      <c r="A13" s="2" t="s">
        <v>28</v>
      </c>
      <c r="B13" s="2"/>
      <c r="C13" s="4">
        <v>42711</v>
      </c>
      <c r="D13" s="4"/>
      <c r="E13" s="4">
        <v>42734</v>
      </c>
      <c r="F13" s="5"/>
      <c r="G13" s="49"/>
      <c r="H13" s="5">
        <v>8.17</v>
      </c>
      <c r="I13" s="5">
        <f>M13/30*23</f>
        <v>19.166666666666668</v>
      </c>
      <c r="J13" s="5"/>
      <c r="K13" s="5"/>
      <c r="L13" s="6">
        <v>40</v>
      </c>
      <c r="M13" s="62">
        <v>25</v>
      </c>
      <c r="N13" s="18">
        <f t="shared" si="0"/>
        <v>10.5</v>
      </c>
    </row>
    <row r="14" spans="1:15">
      <c r="A14" s="2" t="s">
        <v>30</v>
      </c>
      <c r="B14" s="2"/>
      <c r="C14" s="4">
        <v>42732</v>
      </c>
      <c r="D14" s="4"/>
      <c r="E14" s="4">
        <v>42759</v>
      </c>
      <c r="F14" s="5"/>
      <c r="G14" s="49"/>
      <c r="H14" s="5">
        <v>18.8</v>
      </c>
      <c r="I14" s="5">
        <f>M14/30*27</f>
        <v>23.400000000000002</v>
      </c>
      <c r="J14" s="5"/>
      <c r="K14" s="5"/>
      <c r="L14" s="6">
        <v>90</v>
      </c>
      <c r="M14" s="62">
        <v>26</v>
      </c>
      <c r="N14" s="18">
        <f t="shared" si="0"/>
        <v>44.8</v>
      </c>
    </row>
    <row r="15" spans="1:15">
      <c r="A15" s="2" t="s">
        <v>31</v>
      </c>
      <c r="B15" s="2"/>
      <c r="C15" s="4">
        <v>42735</v>
      </c>
      <c r="D15" s="4"/>
      <c r="E15" s="4">
        <v>42782</v>
      </c>
      <c r="F15" s="5">
        <v>50</v>
      </c>
      <c r="G15" s="49"/>
      <c r="H15" s="5">
        <v>20.63</v>
      </c>
      <c r="I15" s="5">
        <f>M15/30*46</f>
        <v>42.933333333333337</v>
      </c>
      <c r="J15" s="5"/>
      <c r="K15" s="5"/>
      <c r="L15" s="6">
        <v>92</v>
      </c>
      <c r="M15" s="61">
        <v>28</v>
      </c>
      <c r="N15" s="6">
        <f t="shared" si="0"/>
        <v>44.8</v>
      </c>
    </row>
    <row r="16" spans="1:15">
      <c r="A16" s="2" t="s">
        <v>32</v>
      </c>
      <c r="B16" s="2"/>
      <c r="C16" s="4">
        <v>42857</v>
      </c>
      <c r="D16" s="4"/>
      <c r="E16" s="4">
        <v>42866</v>
      </c>
      <c r="F16" s="5"/>
      <c r="G16" s="49"/>
      <c r="H16" s="5"/>
      <c r="I16" s="5">
        <f>23/30*9</f>
        <v>6.9</v>
      </c>
      <c r="J16" s="5">
        <f>60*0.7</f>
        <v>42</v>
      </c>
      <c r="K16" s="5"/>
      <c r="L16" s="6">
        <v>60</v>
      </c>
      <c r="M16" s="61">
        <v>23</v>
      </c>
      <c r="N16" s="6">
        <f t="shared" si="0"/>
        <v>25.9</v>
      </c>
    </row>
    <row r="17" spans="1:15">
      <c r="A17" s="2" t="s">
        <v>37</v>
      </c>
      <c r="B17" s="2"/>
      <c r="C17" s="4">
        <v>42891</v>
      </c>
      <c r="D17" s="4"/>
      <c r="E17" s="4">
        <v>42915</v>
      </c>
      <c r="F17" s="5"/>
      <c r="G17" s="49"/>
      <c r="H17" s="5">
        <v>6.83</v>
      </c>
      <c r="I17" s="5">
        <f>24/30*24</f>
        <v>19.200000000000003</v>
      </c>
      <c r="J17" s="5"/>
      <c r="K17" s="5"/>
      <c r="L17" s="6">
        <v>70</v>
      </c>
      <c r="M17" s="61">
        <v>24</v>
      </c>
      <c r="N17" s="6">
        <f t="shared" si="0"/>
        <v>32.199999999999996</v>
      </c>
    </row>
    <row r="18" spans="1:15">
      <c r="A18" s="2" t="s">
        <v>39</v>
      </c>
      <c r="B18" s="2"/>
      <c r="C18" s="4">
        <v>43081</v>
      </c>
      <c r="D18" s="4"/>
      <c r="E18" s="4">
        <v>43109</v>
      </c>
      <c r="F18" s="5"/>
      <c r="G18" s="49"/>
      <c r="H18" s="5">
        <v>9.83</v>
      </c>
      <c r="I18" s="5">
        <f>36/30*28</f>
        <v>33.6</v>
      </c>
      <c r="J18" s="5"/>
      <c r="K18" s="5"/>
      <c r="L18" s="6">
        <v>120</v>
      </c>
      <c r="M18" s="61">
        <v>36</v>
      </c>
      <c r="N18" s="6">
        <f t="shared" si="0"/>
        <v>58.8</v>
      </c>
    </row>
    <row r="19" spans="1:15">
      <c r="A19" s="22" t="s">
        <v>56</v>
      </c>
      <c r="B19" s="22"/>
      <c r="C19" s="4">
        <v>43361</v>
      </c>
      <c r="D19" s="4"/>
      <c r="E19" s="4">
        <v>43132</v>
      </c>
      <c r="F19" s="5"/>
      <c r="G19" s="49"/>
      <c r="H19" s="5">
        <v>14.11</v>
      </c>
      <c r="I19" s="5">
        <f>25*4+25/30*12</f>
        <v>110</v>
      </c>
      <c r="J19" s="5"/>
      <c r="K19" s="5"/>
      <c r="L19" s="6">
        <v>75</v>
      </c>
      <c r="M19" s="61">
        <v>25</v>
      </c>
      <c r="N19" s="6">
        <f t="shared" si="0"/>
        <v>35</v>
      </c>
    </row>
    <row r="20" spans="1:15">
      <c r="A20" s="2" t="s">
        <v>40</v>
      </c>
      <c r="B20" s="2"/>
      <c r="C20" s="4">
        <v>43106</v>
      </c>
      <c r="D20" s="4"/>
      <c r="E20" s="4">
        <v>43146</v>
      </c>
      <c r="F20" s="5"/>
      <c r="G20" s="49"/>
      <c r="H20" s="5">
        <v>8.2899999999999991</v>
      </c>
      <c r="I20" s="5">
        <f>25/30*39</f>
        <v>32.5</v>
      </c>
      <c r="J20" s="5"/>
      <c r="K20" s="5"/>
      <c r="L20" s="6">
        <v>70</v>
      </c>
      <c r="M20" s="61">
        <v>26</v>
      </c>
      <c r="N20" s="6">
        <f t="shared" si="0"/>
        <v>30.799999999999997</v>
      </c>
    </row>
    <row r="21" spans="1:15">
      <c r="A21" s="2" t="s">
        <v>44</v>
      </c>
      <c r="B21" s="2"/>
      <c r="C21" s="4">
        <v>43196</v>
      </c>
      <c r="D21" s="4"/>
      <c r="E21" s="4">
        <v>43250</v>
      </c>
      <c r="F21" s="5"/>
      <c r="G21" s="49"/>
      <c r="H21" s="5">
        <v>13.78</v>
      </c>
      <c r="I21" s="5">
        <f>25*24/30+25</f>
        <v>45</v>
      </c>
      <c r="J21" s="5"/>
      <c r="K21" s="5"/>
      <c r="L21" s="6">
        <v>11</v>
      </c>
      <c r="M21" s="61">
        <v>25</v>
      </c>
      <c r="N21" s="6">
        <v>9.7999999999999989</v>
      </c>
    </row>
    <row r="22" spans="1:15">
      <c r="A22" s="22" t="s">
        <v>47</v>
      </c>
      <c r="B22" s="22"/>
      <c r="C22" s="4">
        <v>43355</v>
      </c>
      <c r="D22" s="4"/>
      <c r="E22" s="4">
        <v>43277</v>
      </c>
      <c r="F22" s="5"/>
      <c r="G22" s="49"/>
      <c r="H22" s="5">
        <v>19.98</v>
      </c>
      <c r="I22" s="5">
        <f>36*2+36/30*16</f>
        <v>91.2</v>
      </c>
      <c r="J22" s="5"/>
      <c r="K22" s="5"/>
      <c r="L22" s="6">
        <v>105</v>
      </c>
      <c r="M22" s="61">
        <v>36</v>
      </c>
      <c r="N22" s="6">
        <f t="shared" si="0"/>
        <v>48.3</v>
      </c>
    </row>
    <row r="23" spans="1:15">
      <c r="A23" s="22" t="s">
        <v>48</v>
      </c>
      <c r="B23" s="22"/>
      <c r="C23" s="4">
        <v>43367</v>
      </c>
      <c r="D23" s="4"/>
      <c r="E23" s="4">
        <v>43284</v>
      </c>
      <c r="F23" s="5"/>
      <c r="G23" s="49"/>
      <c r="H23" s="5">
        <v>9.1</v>
      </c>
      <c r="I23" s="5">
        <f>25+25/30*27</f>
        <v>47.5</v>
      </c>
      <c r="J23" s="5"/>
      <c r="K23" s="5"/>
      <c r="L23" s="6">
        <v>75</v>
      </c>
      <c r="M23" s="61">
        <v>25</v>
      </c>
      <c r="N23" s="6">
        <f t="shared" si="0"/>
        <v>35</v>
      </c>
    </row>
    <row r="24" spans="1:15">
      <c r="A24" s="2" t="s">
        <v>45</v>
      </c>
      <c r="B24" s="2"/>
      <c r="C24" s="4"/>
      <c r="D24" s="4"/>
      <c r="E24" s="4">
        <v>43286</v>
      </c>
      <c r="F24" s="5"/>
      <c r="G24" s="49"/>
      <c r="H24" s="5">
        <v>11.56</v>
      </c>
      <c r="I24" s="5"/>
      <c r="J24" s="5"/>
      <c r="K24" s="5"/>
      <c r="L24" s="6">
        <v>150</v>
      </c>
      <c r="M24" s="61">
        <v>76</v>
      </c>
      <c r="N24" s="6">
        <f t="shared" si="0"/>
        <v>51.8</v>
      </c>
      <c r="O24" s="20"/>
    </row>
    <row r="25" spans="1:15">
      <c r="A25" s="22" t="s">
        <v>49</v>
      </c>
      <c r="B25" s="22"/>
      <c r="C25" s="4">
        <v>43367</v>
      </c>
      <c r="D25" s="4"/>
      <c r="E25" s="4">
        <v>43291</v>
      </c>
      <c r="F25" s="5"/>
      <c r="G25" s="49"/>
      <c r="H25" s="5">
        <v>10.039999999999999</v>
      </c>
      <c r="I25" s="5">
        <f>50+25/30*14</f>
        <v>61.666666666666671</v>
      </c>
      <c r="J25" s="5"/>
      <c r="K25" s="5"/>
      <c r="L25" s="6">
        <v>50</v>
      </c>
      <c r="M25" s="61">
        <v>22</v>
      </c>
      <c r="N25" s="18">
        <f t="shared" si="0"/>
        <v>19.599999999999998</v>
      </c>
    </row>
    <row r="26" spans="1:15">
      <c r="A26" s="22" t="s">
        <v>51</v>
      </c>
      <c r="B26" s="22"/>
      <c r="C26" s="4">
        <v>43358</v>
      </c>
      <c r="D26" s="4"/>
      <c r="E26" s="4">
        <v>43291</v>
      </c>
      <c r="F26" s="5"/>
      <c r="G26" s="49"/>
      <c r="H26" s="5">
        <v>10.039999999999999</v>
      </c>
      <c r="I26" s="5">
        <f>50+25/30*5</f>
        <v>54.166666666666664</v>
      </c>
      <c r="J26" s="5"/>
      <c r="K26" s="5"/>
      <c r="L26" s="6">
        <v>75</v>
      </c>
      <c r="M26" s="61">
        <v>25</v>
      </c>
      <c r="N26" s="6">
        <f t="shared" si="0"/>
        <v>35</v>
      </c>
    </row>
    <row r="27" spans="1:15">
      <c r="A27" s="22" t="s">
        <v>52</v>
      </c>
      <c r="B27" s="22"/>
      <c r="C27" s="4">
        <v>43367</v>
      </c>
      <c r="D27" s="4"/>
      <c r="E27" s="4">
        <v>43308</v>
      </c>
      <c r="F27" s="5"/>
      <c r="G27" s="49"/>
      <c r="H27" s="5">
        <v>10.86</v>
      </c>
      <c r="I27" s="5">
        <f>25+25/30*27</f>
        <v>47.5</v>
      </c>
      <c r="J27" s="5"/>
      <c r="K27" s="5"/>
      <c r="L27" s="6">
        <v>75</v>
      </c>
      <c r="M27" s="61">
        <v>25</v>
      </c>
      <c r="N27" s="27">
        <f t="shared" si="0"/>
        <v>35</v>
      </c>
    </row>
    <row r="28" spans="1:15">
      <c r="A28" s="22" t="s">
        <v>50</v>
      </c>
      <c r="B28" s="22"/>
      <c r="C28" s="4">
        <v>43367</v>
      </c>
      <c r="D28" s="4"/>
      <c r="E28" s="4">
        <v>43312</v>
      </c>
      <c r="F28" s="5"/>
      <c r="G28" s="49"/>
      <c r="H28" s="5">
        <v>10.86</v>
      </c>
      <c r="I28" s="5">
        <f>25+25/30*24</f>
        <v>45</v>
      </c>
      <c r="J28" s="5"/>
      <c r="K28" s="5"/>
      <c r="L28" s="6">
        <v>70</v>
      </c>
      <c r="M28" s="61">
        <v>25</v>
      </c>
      <c r="N28" s="6">
        <f t="shared" si="0"/>
        <v>31.499999999999996</v>
      </c>
    </row>
    <row r="29" spans="1:15">
      <c r="A29" s="22" t="s">
        <v>55</v>
      </c>
      <c r="B29" s="22"/>
      <c r="C29" s="4">
        <v>43363</v>
      </c>
      <c r="D29" s="4"/>
      <c r="E29" s="4">
        <v>43440</v>
      </c>
      <c r="F29" s="5"/>
      <c r="G29" s="49"/>
      <c r="H29" s="5">
        <v>14.11</v>
      </c>
      <c r="I29" s="5">
        <f>25*2+25*16/30</f>
        <v>63.333333333333336</v>
      </c>
      <c r="J29" s="5"/>
      <c r="K29" s="5"/>
      <c r="L29" s="6">
        <v>75</v>
      </c>
      <c r="M29" s="61">
        <v>25</v>
      </c>
      <c r="N29" s="6">
        <f t="shared" si="0"/>
        <v>35</v>
      </c>
    </row>
    <row r="30" spans="1:15">
      <c r="A30" s="22" t="s">
        <v>54</v>
      </c>
      <c r="B30" s="22"/>
      <c r="C30" s="4">
        <v>43167</v>
      </c>
      <c r="D30" s="4"/>
      <c r="E30" s="4">
        <v>43455</v>
      </c>
      <c r="F30" s="5"/>
      <c r="G30" s="49"/>
      <c r="H30" s="5">
        <v>10.86</v>
      </c>
      <c r="I30" s="5">
        <f>9*25+25*13/30</f>
        <v>235.83333333333334</v>
      </c>
      <c r="J30" s="5"/>
      <c r="K30" s="5"/>
      <c r="L30" s="6">
        <v>90</v>
      </c>
      <c r="M30" s="61">
        <v>36</v>
      </c>
      <c r="N30" s="6">
        <f t="shared" si="0"/>
        <v>37.799999999999997</v>
      </c>
    </row>
    <row r="31" spans="1:15">
      <c r="A31" s="22" t="s">
        <v>57</v>
      </c>
      <c r="B31" s="55"/>
      <c r="C31" s="31">
        <v>43478</v>
      </c>
      <c r="D31" s="31"/>
      <c r="E31" s="4">
        <v>43536</v>
      </c>
      <c r="F31" s="5"/>
      <c r="G31" s="49"/>
      <c r="H31" s="5">
        <v>10.86</v>
      </c>
      <c r="I31" s="5">
        <v>25</v>
      </c>
      <c r="J31" s="5"/>
      <c r="K31" s="5"/>
      <c r="L31" s="6">
        <v>70</v>
      </c>
      <c r="M31" s="61">
        <v>25</v>
      </c>
      <c r="N31" s="6">
        <f t="shared" si="0"/>
        <v>31.499999999999996</v>
      </c>
    </row>
    <row r="32" spans="1:15">
      <c r="A32" s="22" t="s">
        <v>59</v>
      </c>
      <c r="B32" s="22"/>
      <c r="C32" s="4">
        <v>43528</v>
      </c>
      <c r="D32" s="4"/>
      <c r="E32" s="4">
        <v>43538</v>
      </c>
      <c r="F32" s="5"/>
      <c r="G32" s="49"/>
      <c r="H32" s="5">
        <v>14.92</v>
      </c>
      <c r="I32" s="5">
        <f>77/30*10</f>
        <v>25.666666666666668</v>
      </c>
      <c r="J32" s="5"/>
      <c r="K32" s="5"/>
      <c r="L32" s="6">
        <v>169</v>
      </c>
      <c r="M32" s="61">
        <f>64+11+2</f>
        <v>77</v>
      </c>
      <c r="N32" s="6">
        <f t="shared" si="0"/>
        <v>64.399999999999991</v>
      </c>
    </row>
    <row r="33" spans="1:15">
      <c r="A33" s="22" t="s">
        <v>58</v>
      </c>
      <c r="B33" s="22"/>
      <c r="C33" s="4">
        <v>43534</v>
      </c>
      <c r="D33" s="4"/>
      <c r="E33" s="4">
        <v>43542</v>
      </c>
      <c r="F33" s="5"/>
      <c r="G33" s="49"/>
      <c r="H33" s="5">
        <f>10.86*2</f>
        <v>21.72</v>
      </c>
      <c r="I33" s="5">
        <v>0</v>
      </c>
      <c r="J33" s="5"/>
      <c r="K33" s="5"/>
      <c r="L33" s="6">
        <v>60</v>
      </c>
      <c r="M33" s="61">
        <v>33</v>
      </c>
      <c r="N33" s="6">
        <v>18.899999999999999</v>
      </c>
    </row>
    <row r="34" spans="1:15">
      <c r="A34" s="22" t="s">
        <v>61</v>
      </c>
      <c r="B34" s="22"/>
      <c r="C34" s="4">
        <v>43482</v>
      </c>
      <c r="D34" s="4"/>
      <c r="E34" s="4">
        <v>43542</v>
      </c>
      <c r="F34" s="5"/>
      <c r="G34" s="49"/>
      <c r="H34" s="5">
        <v>11.1</v>
      </c>
      <c r="I34" s="5">
        <f>25*2</f>
        <v>50</v>
      </c>
      <c r="J34" s="5"/>
      <c r="K34" s="5"/>
      <c r="L34" s="6">
        <v>70</v>
      </c>
      <c r="M34" s="61">
        <v>26</v>
      </c>
      <c r="N34" s="6">
        <f t="shared" si="0"/>
        <v>30.799999999999997</v>
      </c>
    </row>
    <row r="35" spans="1:15">
      <c r="A35" s="22" t="s">
        <v>67</v>
      </c>
      <c r="B35" s="22"/>
      <c r="C35" s="4">
        <v>43600</v>
      </c>
      <c r="D35" s="4"/>
      <c r="E35" s="4">
        <v>43629</v>
      </c>
      <c r="F35" s="5"/>
      <c r="G35" s="49"/>
      <c r="H35" s="5">
        <f>10.86*2</f>
        <v>21.72</v>
      </c>
      <c r="I35" s="5">
        <f>22/30*58</f>
        <v>42.533333333333331</v>
      </c>
      <c r="J35" s="5">
        <v>50</v>
      </c>
      <c r="K35" s="5">
        <f>H35+I35+J35</f>
        <v>114.25333333333333</v>
      </c>
      <c r="L35" s="6">
        <v>60</v>
      </c>
      <c r="M35" s="61">
        <v>25</v>
      </c>
      <c r="N35" s="6">
        <v>0</v>
      </c>
    </row>
    <row r="36" spans="1:15">
      <c r="A36" s="22" t="s">
        <v>66</v>
      </c>
      <c r="B36" s="22"/>
      <c r="C36" s="4">
        <v>43600</v>
      </c>
      <c r="D36" s="4"/>
      <c r="E36" s="4">
        <v>43629</v>
      </c>
      <c r="F36" s="5"/>
      <c r="G36" s="49"/>
      <c r="H36" s="5">
        <f>10.86</f>
        <v>10.86</v>
      </c>
      <c r="I36" s="5">
        <f>39/30*58</f>
        <v>75.400000000000006</v>
      </c>
      <c r="J36" s="5"/>
      <c r="K36" s="5">
        <f>H36+I36</f>
        <v>86.26</v>
      </c>
      <c r="L36" s="6">
        <v>110</v>
      </c>
      <c r="M36" s="61">
        <f>25+11+3</f>
        <v>39</v>
      </c>
      <c r="N36" s="6">
        <v>0</v>
      </c>
      <c r="O36" t="s">
        <v>73</v>
      </c>
    </row>
    <row r="37" spans="1:15">
      <c r="A37" s="22" t="s">
        <v>64</v>
      </c>
      <c r="B37" s="22"/>
      <c r="C37" s="4">
        <v>43627</v>
      </c>
      <c r="D37" s="4"/>
      <c r="E37" s="4">
        <v>43629</v>
      </c>
      <c r="F37" s="5"/>
      <c r="G37" s="49"/>
      <c r="H37" s="5">
        <v>10.86</v>
      </c>
      <c r="I37" s="5">
        <f>25/30*2</f>
        <v>1.6666666666666667</v>
      </c>
      <c r="J37" s="5"/>
      <c r="K37" s="5">
        <f>H37+I37</f>
        <v>12.526666666666666</v>
      </c>
      <c r="L37" s="6">
        <v>200</v>
      </c>
      <c r="M37" s="61">
        <v>11</v>
      </c>
      <c r="N37" s="5">
        <f t="shared" ref="N37" si="1">(L37-M37)*0.7</f>
        <v>132.29999999999998</v>
      </c>
    </row>
    <row r="38" spans="1:15">
      <c r="A38" s="22" t="s">
        <v>65</v>
      </c>
      <c r="B38" s="22"/>
      <c r="C38" s="4">
        <v>43622</v>
      </c>
      <c r="D38" s="4"/>
      <c r="E38" s="4">
        <v>43650</v>
      </c>
      <c r="F38" s="5"/>
      <c r="G38" s="49"/>
      <c r="H38" s="5">
        <v>10.86</v>
      </c>
      <c r="I38" s="5"/>
      <c r="J38" s="5"/>
      <c r="K38" s="5"/>
      <c r="L38" s="6">
        <v>120</v>
      </c>
      <c r="M38" s="61">
        <v>60</v>
      </c>
      <c r="N38" s="6">
        <f t="shared" ref="N38:N50" si="2">(L38-M38)*0.7</f>
        <v>42</v>
      </c>
    </row>
    <row r="39" spans="1:15">
      <c r="A39" s="22" t="s">
        <v>71</v>
      </c>
      <c r="B39" s="22"/>
      <c r="C39" s="4">
        <v>43635</v>
      </c>
      <c r="D39" s="4"/>
      <c r="E39" s="4">
        <v>43662</v>
      </c>
      <c r="F39" s="5"/>
      <c r="G39" s="49"/>
      <c r="H39" s="5">
        <f>10.86*2</f>
        <v>21.72</v>
      </c>
      <c r="I39" s="5"/>
      <c r="J39" s="5"/>
      <c r="K39" s="5"/>
      <c r="L39" s="6">
        <v>70</v>
      </c>
      <c r="M39" s="61">
        <v>26</v>
      </c>
      <c r="N39" s="6">
        <f t="shared" si="2"/>
        <v>30.799999999999997</v>
      </c>
      <c r="O39" t="s">
        <v>72</v>
      </c>
    </row>
    <row r="40" spans="1:15">
      <c r="A40" s="2" t="s">
        <v>75</v>
      </c>
      <c r="B40" s="2"/>
      <c r="C40" s="4">
        <v>43656</v>
      </c>
      <c r="D40" s="4"/>
      <c r="E40" s="4">
        <v>43711</v>
      </c>
      <c r="F40" s="5"/>
      <c r="G40" s="49"/>
      <c r="H40" s="5">
        <v>10.86</v>
      </c>
      <c r="I40" s="5">
        <f>36/30*48</f>
        <v>57.599999999999994</v>
      </c>
      <c r="J40" s="5"/>
      <c r="K40" s="5"/>
      <c r="L40" s="6">
        <v>105</v>
      </c>
      <c r="M40" s="61">
        <v>36</v>
      </c>
      <c r="N40" s="6">
        <f t="shared" si="2"/>
        <v>48.3</v>
      </c>
    </row>
    <row r="41" spans="1:15">
      <c r="A41" s="2" t="s">
        <v>76</v>
      </c>
      <c r="B41" s="2"/>
      <c r="C41" s="4">
        <v>43677</v>
      </c>
      <c r="D41" s="4"/>
      <c r="E41" s="4">
        <v>43713</v>
      </c>
      <c r="F41" s="5"/>
      <c r="G41" s="49"/>
      <c r="H41" s="5">
        <v>24.06</v>
      </c>
      <c r="I41" s="5">
        <f>80/30*35</f>
        <v>93.333333333333329</v>
      </c>
      <c r="J41" s="5">
        <v>40</v>
      </c>
      <c r="K41" s="5"/>
      <c r="L41" s="6">
        <v>149</v>
      </c>
      <c r="M41" s="61">
        <v>80</v>
      </c>
      <c r="N41" s="6">
        <f t="shared" si="2"/>
        <v>48.3</v>
      </c>
      <c r="O41" t="s">
        <v>79</v>
      </c>
    </row>
    <row r="42" spans="1:15">
      <c r="A42" s="2" t="s">
        <v>81</v>
      </c>
      <c r="B42" s="2"/>
      <c r="C42" s="4">
        <v>43788</v>
      </c>
      <c r="D42" s="4"/>
      <c r="E42" s="4">
        <v>43865</v>
      </c>
      <c r="F42" s="5"/>
      <c r="G42" s="49"/>
      <c r="H42" s="5">
        <v>9.14</v>
      </c>
      <c r="I42" s="5">
        <f>25/30*45</f>
        <v>37.5</v>
      </c>
      <c r="J42" s="5"/>
      <c r="K42" s="5"/>
      <c r="L42" s="6">
        <v>90</v>
      </c>
      <c r="M42" s="61">
        <v>25</v>
      </c>
      <c r="N42" s="6">
        <f t="shared" si="2"/>
        <v>45.5</v>
      </c>
    </row>
    <row r="43" spans="1:15">
      <c r="A43" s="22" t="s">
        <v>87</v>
      </c>
      <c r="B43" s="22"/>
      <c r="C43" s="35">
        <v>43878</v>
      </c>
      <c r="D43" s="35"/>
      <c r="E43" s="35">
        <v>43892</v>
      </c>
      <c r="F43" s="5"/>
      <c r="G43" s="49"/>
      <c r="H43" s="5">
        <v>12.19</v>
      </c>
      <c r="I43" s="5">
        <v>5.5</v>
      </c>
      <c r="J43" s="5"/>
      <c r="K43" s="5"/>
      <c r="L43" s="6">
        <v>25</v>
      </c>
      <c r="M43" s="61">
        <v>11</v>
      </c>
      <c r="N43" s="6">
        <f t="shared" si="2"/>
        <v>9.7999999999999989</v>
      </c>
    </row>
    <row r="44" spans="1:15">
      <c r="A44" s="22" t="s">
        <v>89</v>
      </c>
      <c r="B44" s="22"/>
      <c r="C44" s="35">
        <v>43908</v>
      </c>
      <c r="D44" s="35"/>
      <c r="E44" s="35">
        <v>43893</v>
      </c>
      <c r="F44" s="5"/>
      <c r="G44" s="49"/>
      <c r="H44" s="5">
        <v>9.6</v>
      </c>
      <c r="I44" s="5">
        <v>5.5</v>
      </c>
      <c r="J44" s="5"/>
      <c r="K44" s="5"/>
      <c r="L44" s="6">
        <v>25</v>
      </c>
      <c r="M44" s="61">
        <v>11</v>
      </c>
      <c r="N44" s="6">
        <f t="shared" si="2"/>
        <v>9.7999999999999989</v>
      </c>
    </row>
    <row r="45" spans="1:15">
      <c r="A45" s="22" t="s">
        <v>85</v>
      </c>
      <c r="B45" s="22"/>
      <c r="C45" s="35">
        <v>43881</v>
      </c>
      <c r="D45" s="35"/>
      <c r="E45" s="35">
        <v>43895</v>
      </c>
      <c r="F45" s="5"/>
      <c r="G45" s="49"/>
      <c r="H45" s="5">
        <v>9.14</v>
      </c>
      <c r="I45" s="5">
        <f>11/30*15</f>
        <v>5.5</v>
      </c>
      <c r="J45" s="5"/>
      <c r="K45" s="5"/>
      <c r="L45" s="6">
        <v>25</v>
      </c>
      <c r="M45" s="61">
        <v>11</v>
      </c>
      <c r="N45" s="6">
        <f t="shared" si="2"/>
        <v>9.7999999999999989</v>
      </c>
    </row>
    <row r="46" spans="1:15">
      <c r="A46" s="39" t="s">
        <v>82</v>
      </c>
      <c r="B46" s="28"/>
      <c r="C46" s="36">
        <v>40235</v>
      </c>
      <c r="D46" s="36"/>
      <c r="E46" s="36">
        <v>43901</v>
      </c>
      <c r="F46" s="5"/>
      <c r="G46" s="34"/>
      <c r="H46" s="37">
        <v>9.6</v>
      </c>
      <c r="I46" s="5">
        <f>11/2</f>
        <v>5.5</v>
      </c>
      <c r="J46" s="5"/>
      <c r="K46" s="5"/>
      <c r="L46" s="17">
        <v>25</v>
      </c>
      <c r="M46" s="63">
        <v>11</v>
      </c>
      <c r="N46" s="26">
        <f t="shared" si="2"/>
        <v>9.7999999999999989</v>
      </c>
    </row>
    <row r="47" spans="1:15">
      <c r="A47" s="22" t="s">
        <v>84</v>
      </c>
      <c r="B47" s="22"/>
      <c r="C47" s="35">
        <v>43889</v>
      </c>
      <c r="D47" s="35"/>
      <c r="E47" s="35">
        <v>43903</v>
      </c>
      <c r="F47" s="5"/>
      <c r="G47" s="49"/>
      <c r="H47" s="5">
        <v>9.14</v>
      </c>
      <c r="I47" s="5">
        <f>11/30*15</f>
        <v>5.5</v>
      </c>
      <c r="J47" s="5"/>
      <c r="K47" s="5"/>
      <c r="L47" s="6">
        <v>25</v>
      </c>
      <c r="M47" s="61">
        <v>11</v>
      </c>
      <c r="N47" s="6">
        <f t="shared" si="2"/>
        <v>9.7999999999999989</v>
      </c>
    </row>
    <row r="48" spans="1:15">
      <c r="A48" s="22" t="s">
        <v>80</v>
      </c>
      <c r="B48" s="22"/>
      <c r="C48" s="35">
        <v>43873</v>
      </c>
      <c r="D48" s="35"/>
      <c r="E48" s="35">
        <v>43910</v>
      </c>
      <c r="F48" s="5"/>
      <c r="G48" s="49"/>
      <c r="H48" s="5">
        <v>21.84</v>
      </c>
      <c r="I48" s="5">
        <f>56/30*38</f>
        <v>70.933333333333337</v>
      </c>
      <c r="J48" s="5"/>
      <c r="K48" s="5"/>
      <c r="L48" s="6">
        <v>120</v>
      </c>
      <c r="M48" s="61">
        <v>56</v>
      </c>
      <c r="N48" s="6">
        <f t="shared" si="2"/>
        <v>44.8</v>
      </c>
    </row>
    <row r="49" spans="1:16">
      <c r="A49" s="22" t="s">
        <v>83</v>
      </c>
      <c r="B49" s="22"/>
      <c r="C49" s="35">
        <v>43872</v>
      </c>
      <c r="D49" s="35"/>
      <c r="E49" s="35">
        <v>43913</v>
      </c>
      <c r="F49" s="5"/>
      <c r="G49" s="49"/>
      <c r="H49" s="5">
        <v>12.24</v>
      </c>
      <c r="I49" s="5">
        <f>45/30*42</f>
        <v>63</v>
      </c>
      <c r="J49" s="5"/>
      <c r="K49" s="5"/>
      <c r="L49" s="6">
        <v>85</v>
      </c>
      <c r="M49" s="61">
        <v>45</v>
      </c>
      <c r="N49" s="6">
        <f t="shared" si="2"/>
        <v>28</v>
      </c>
    </row>
    <row r="50" spans="1:16">
      <c r="A50" s="22" t="s">
        <v>88</v>
      </c>
      <c r="B50" s="22"/>
      <c r="C50" s="35">
        <v>43855</v>
      </c>
      <c r="D50" s="35"/>
      <c r="E50" s="35">
        <v>43941</v>
      </c>
      <c r="F50" s="5"/>
      <c r="G50" s="49"/>
      <c r="H50" s="5">
        <v>13.93</v>
      </c>
      <c r="I50" s="5">
        <f>56/30*85</f>
        <v>158.66666666666666</v>
      </c>
      <c r="J50" s="5"/>
      <c r="K50" s="5"/>
      <c r="L50" s="6">
        <v>110</v>
      </c>
      <c r="M50" s="61">
        <v>56</v>
      </c>
      <c r="N50" s="6">
        <f t="shared" si="2"/>
        <v>37.799999999999997</v>
      </c>
    </row>
    <row r="51" spans="1:16">
      <c r="A51" s="22" t="s">
        <v>90</v>
      </c>
      <c r="B51" s="22"/>
      <c r="C51" s="35" t="s">
        <v>96</v>
      </c>
      <c r="D51" s="35"/>
      <c r="E51" s="35">
        <v>44015</v>
      </c>
      <c r="F51" s="5" t="s">
        <v>160</v>
      </c>
      <c r="G51" s="49">
        <v>12.5</v>
      </c>
      <c r="H51" s="5">
        <v>11.29</v>
      </c>
      <c r="I51" s="5">
        <f>100</f>
        <v>100</v>
      </c>
      <c r="J51" s="5"/>
      <c r="K51" s="5"/>
      <c r="L51" s="6">
        <v>105</v>
      </c>
      <c r="M51" s="61">
        <f>25+11+22</f>
        <v>58</v>
      </c>
      <c r="N51" s="6">
        <f>12.5+(92.5-M51)*0.7</f>
        <v>36.65</v>
      </c>
      <c r="P51" s="41"/>
    </row>
    <row r="52" spans="1:16">
      <c r="A52" s="22" t="s">
        <v>97</v>
      </c>
      <c r="B52" s="22"/>
      <c r="C52" s="35">
        <v>43990</v>
      </c>
      <c r="D52" s="35"/>
      <c r="E52" s="35">
        <v>44036</v>
      </c>
      <c r="F52" s="5"/>
      <c r="G52" s="49"/>
      <c r="H52" s="5">
        <v>8.75</v>
      </c>
      <c r="I52" s="5">
        <f>56/30*46</f>
        <v>85.866666666666674</v>
      </c>
      <c r="J52" s="5"/>
      <c r="K52" s="5"/>
      <c r="L52" s="6">
        <v>110</v>
      </c>
      <c r="M52" s="61">
        <f>45+11</f>
        <v>56</v>
      </c>
      <c r="N52" s="6">
        <f>(L52-M52)*0.7</f>
        <v>37.799999999999997</v>
      </c>
    </row>
    <row r="53" spans="1:16">
      <c r="A53" s="22" t="s">
        <v>95</v>
      </c>
      <c r="B53" s="22"/>
      <c r="C53" s="35">
        <v>44028</v>
      </c>
      <c r="D53" s="35"/>
      <c r="E53" s="35">
        <v>44040</v>
      </c>
      <c r="F53" s="5"/>
      <c r="G53" s="49"/>
      <c r="H53" s="5">
        <v>8.75</v>
      </c>
      <c r="I53" s="5">
        <f>41/30*12</f>
        <v>16.399999999999999</v>
      </c>
      <c r="J53" s="5"/>
      <c r="K53" s="5"/>
      <c r="L53" s="6">
        <v>60</v>
      </c>
      <c r="M53" s="61">
        <v>41</v>
      </c>
      <c r="N53" s="6">
        <f>(L53-M53)*0.7</f>
        <v>13.299999999999999</v>
      </c>
    </row>
    <row r="54" spans="1:16">
      <c r="A54" s="22" t="s">
        <v>98</v>
      </c>
      <c r="B54" s="22"/>
      <c r="C54" s="35">
        <v>44048</v>
      </c>
      <c r="D54" s="35"/>
      <c r="E54" s="35">
        <v>44081</v>
      </c>
      <c r="F54" s="5" t="s">
        <v>160</v>
      </c>
      <c r="G54" s="49">
        <v>17.5</v>
      </c>
      <c r="H54" s="5">
        <v>27.88</v>
      </c>
      <c r="I54" s="5">
        <f>58/30*32</f>
        <v>61.866666666666667</v>
      </c>
      <c r="J54" s="5">
        <v>125</v>
      </c>
      <c r="K54" s="5"/>
      <c r="L54" s="6">
        <v>140</v>
      </c>
      <c r="M54" s="61">
        <f>25+33</f>
        <v>58</v>
      </c>
      <c r="N54" s="6">
        <f>17.5+64.5*0.7</f>
        <v>62.65</v>
      </c>
      <c r="P54" s="41"/>
    </row>
    <row r="55" spans="1:16">
      <c r="A55" s="22" t="s">
        <v>94</v>
      </c>
      <c r="B55" s="22"/>
      <c r="C55" s="35">
        <v>44011</v>
      </c>
      <c r="D55" s="35"/>
      <c r="E55" s="35">
        <v>44084</v>
      </c>
      <c r="F55" s="5"/>
      <c r="G55" s="49"/>
      <c r="H55" s="5">
        <v>11.29</v>
      </c>
      <c r="I55" s="5">
        <f>25/30*71</f>
        <v>59.166666666666671</v>
      </c>
      <c r="J55" s="5"/>
      <c r="K55" s="5"/>
      <c r="L55" s="6">
        <v>40</v>
      </c>
      <c r="M55" s="61">
        <v>25</v>
      </c>
      <c r="N55" s="6">
        <f>(L55-M55)*0.7</f>
        <v>10.5</v>
      </c>
    </row>
    <row r="56" spans="1:16">
      <c r="A56" s="2" t="s">
        <v>99</v>
      </c>
      <c r="B56" s="2"/>
      <c r="C56" s="35">
        <v>44084</v>
      </c>
      <c r="D56" s="35"/>
      <c r="E56" s="35">
        <v>44105</v>
      </c>
      <c r="F56" s="5" t="s">
        <v>160</v>
      </c>
      <c r="G56" s="49">
        <v>5</v>
      </c>
      <c r="H56" s="5">
        <v>12.24</v>
      </c>
      <c r="I56" s="5">
        <f>25/30*20</f>
        <v>16.666666666666668</v>
      </c>
      <c r="J56" s="5"/>
      <c r="K56" s="5"/>
      <c r="L56" s="43">
        <v>40</v>
      </c>
      <c r="M56" s="61">
        <v>22</v>
      </c>
      <c r="N56" s="6">
        <f>5+13*0.7</f>
        <v>14.1</v>
      </c>
      <c r="P56" s="41"/>
    </row>
    <row r="57" spans="1:16">
      <c r="A57" s="2" t="s">
        <v>102</v>
      </c>
      <c r="B57" s="2"/>
      <c r="C57" s="4" t="s">
        <v>103</v>
      </c>
      <c r="D57" s="4"/>
      <c r="E57" s="4">
        <v>44110</v>
      </c>
      <c r="F57" s="5" t="s">
        <v>160</v>
      </c>
      <c r="G57" s="49">
        <v>10</v>
      </c>
      <c r="H57" s="5">
        <v>36.65</v>
      </c>
      <c r="I57" s="5">
        <f>115/30*26</f>
        <v>99.666666666666671</v>
      </c>
      <c r="J57" s="5"/>
      <c r="K57" s="5"/>
      <c r="L57" s="6">
        <v>180</v>
      </c>
      <c r="M57" s="61">
        <v>115</v>
      </c>
      <c r="N57" s="6">
        <f>10+55*0.7</f>
        <v>48.5</v>
      </c>
      <c r="P57" s="41"/>
    </row>
    <row r="58" spans="1:16">
      <c r="A58" s="2" t="s">
        <v>94</v>
      </c>
      <c r="B58" s="2"/>
      <c r="C58" s="35">
        <v>44124</v>
      </c>
      <c r="D58" s="35"/>
      <c r="E58" s="35">
        <v>44124</v>
      </c>
      <c r="F58" s="5"/>
      <c r="G58" s="49"/>
      <c r="H58" s="5">
        <v>7.25</v>
      </c>
      <c r="I58" s="5">
        <v>0</v>
      </c>
      <c r="J58" s="5"/>
      <c r="K58" s="5"/>
      <c r="L58" s="6">
        <v>25</v>
      </c>
      <c r="M58" s="61">
        <v>11</v>
      </c>
      <c r="N58" s="6">
        <f>(L58-M58)*0.7</f>
        <v>9.7999999999999989</v>
      </c>
    </row>
    <row r="59" spans="1:16">
      <c r="A59" s="2" t="s">
        <v>100</v>
      </c>
      <c r="B59" s="2"/>
      <c r="C59" s="4">
        <v>44018</v>
      </c>
      <c r="D59" s="4"/>
      <c r="E59" s="4">
        <v>44124</v>
      </c>
      <c r="F59" s="40"/>
      <c r="G59" s="2"/>
      <c r="H59" s="5">
        <v>9.5</v>
      </c>
      <c r="I59" s="5">
        <f>25/30*104</f>
        <v>86.666666666666671</v>
      </c>
      <c r="J59" s="5"/>
      <c r="K59" s="5"/>
      <c r="L59" s="6">
        <v>70</v>
      </c>
      <c r="M59" s="61">
        <v>25</v>
      </c>
      <c r="N59" s="6">
        <f>(L59-M59)*0.7</f>
        <v>31.499999999999996</v>
      </c>
    </row>
    <row r="60" spans="1:16">
      <c r="A60" s="2" t="s">
        <v>101</v>
      </c>
      <c r="B60" s="2"/>
      <c r="C60" s="4">
        <v>44070</v>
      </c>
      <c r="D60" s="4"/>
      <c r="E60" s="4">
        <v>44131</v>
      </c>
      <c r="F60" s="40"/>
      <c r="G60" s="2"/>
      <c r="H60" s="5">
        <v>13.93</v>
      </c>
      <c r="I60" s="5">
        <f>71/30*60</f>
        <v>142</v>
      </c>
      <c r="J60" s="5"/>
      <c r="K60" s="5"/>
      <c r="L60" s="6">
        <v>120</v>
      </c>
      <c r="M60" s="61">
        <f>60+11</f>
        <v>71</v>
      </c>
      <c r="N60" s="6">
        <f>(L60-M60)*0.7</f>
        <v>34.299999999999997</v>
      </c>
    </row>
    <row r="61" spans="1:16">
      <c r="A61" s="22" t="s">
        <v>104</v>
      </c>
      <c r="B61" s="22"/>
      <c r="C61" s="4">
        <v>44159</v>
      </c>
      <c r="D61" s="4"/>
      <c r="E61" s="4">
        <v>44187</v>
      </c>
      <c r="F61" s="40"/>
      <c r="G61" s="2"/>
      <c r="H61" s="5">
        <v>13.93</v>
      </c>
      <c r="I61" s="5">
        <f>36/30*28</f>
        <v>33.6</v>
      </c>
      <c r="J61" s="5"/>
      <c r="K61" s="5"/>
      <c r="L61" s="6">
        <v>110</v>
      </c>
      <c r="M61" s="61">
        <f>25+11</f>
        <v>36</v>
      </c>
      <c r="N61" s="6">
        <f>(L61-M61)*0.7</f>
        <v>51.8</v>
      </c>
    </row>
    <row r="62" spans="1:16">
      <c r="A62" s="22" t="s">
        <v>120</v>
      </c>
      <c r="B62" s="22"/>
      <c r="C62" s="4">
        <v>44169</v>
      </c>
      <c r="D62" s="4"/>
      <c r="E62" s="4">
        <v>44208</v>
      </c>
      <c r="F62" s="5" t="s">
        <v>160</v>
      </c>
      <c r="G62" s="49">
        <v>10</v>
      </c>
      <c r="H62" s="5"/>
      <c r="I62" s="5">
        <f>41/30*38</f>
        <v>51.933333333333337</v>
      </c>
      <c r="J62" s="5"/>
      <c r="K62" s="5"/>
      <c r="L62" s="6">
        <v>70</v>
      </c>
      <c r="M62" s="61">
        <v>45</v>
      </c>
      <c r="N62" s="5">
        <f>10+(60-45)*0.7</f>
        <v>20.5</v>
      </c>
      <c r="O62" s="1" t="s">
        <v>145</v>
      </c>
    </row>
    <row r="63" spans="1:16">
      <c r="A63" s="22" t="s">
        <v>108</v>
      </c>
      <c r="B63" s="22"/>
      <c r="C63" s="4">
        <v>44185</v>
      </c>
      <c r="D63" s="4"/>
      <c r="E63" s="4">
        <v>44242</v>
      </c>
      <c r="F63" s="5" t="s">
        <v>160</v>
      </c>
      <c r="G63" s="49">
        <v>20</v>
      </c>
      <c r="H63" s="5">
        <v>26.48</v>
      </c>
      <c r="I63" s="5">
        <f>50/30*55</f>
        <v>91.666666666666671</v>
      </c>
      <c r="J63" s="5">
        <v>160</v>
      </c>
      <c r="K63" s="5"/>
      <c r="L63" s="6">
        <v>190</v>
      </c>
      <c r="M63" s="61">
        <v>61</v>
      </c>
      <c r="N63" s="5">
        <f>(20+(170-61)*0.7)</f>
        <v>96.3</v>
      </c>
      <c r="O63" s="1" t="s">
        <v>145</v>
      </c>
    </row>
    <row r="64" spans="1:16">
      <c r="A64" s="22" t="s">
        <v>109</v>
      </c>
      <c r="B64" s="22"/>
      <c r="C64" s="4">
        <v>44209</v>
      </c>
      <c r="D64" s="4"/>
      <c r="E64" s="4">
        <v>44250</v>
      </c>
      <c r="F64" s="5" t="s">
        <v>160</v>
      </c>
      <c r="G64" s="49">
        <v>22.5</v>
      </c>
      <c r="H64" s="5">
        <v>22.83</v>
      </c>
      <c r="I64" s="5">
        <f>100/30*40</f>
        <v>133.33333333333334</v>
      </c>
      <c r="J64" s="5">
        <v>125</v>
      </c>
      <c r="K64" s="5"/>
      <c r="L64" s="6">
        <v>210</v>
      </c>
      <c r="M64" s="61">
        <v>100</v>
      </c>
      <c r="N64" s="6">
        <f>(22.5+87.5*0.7)</f>
        <v>83.75</v>
      </c>
    </row>
    <row r="65" spans="1:15">
      <c r="A65" s="2" t="s">
        <v>113</v>
      </c>
      <c r="B65" s="2"/>
      <c r="C65" s="4">
        <v>44245</v>
      </c>
      <c r="D65" s="4"/>
      <c r="E65" s="4">
        <v>44271</v>
      </c>
      <c r="F65" s="5" t="s">
        <v>160</v>
      </c>
      <c r="G65" s="49">
        <v>15</v>
      </c>
      <c r="H65" s="5">
        <v>26.76</v>
      </c>
      <c r="I65" s="5">
        <f>67/30*28</f>
        <v>62.533333333333331</v>
      </c>
      <c r="J65" s="5"/>
      <c r="K65" s="5"/>
      <c r="L65" s="6">
        <v>140</v>
      </c>
      <c r="M65" s="61">
        <v>67</v>
      </c>
      <c r="N65" s="6">
        <f>(15+0.7*58)</f>
        <v>55.599999999999994</v>
      </c>
    </row>
    <row r="66" spans="1:15">
      <c r="A66" s="2" t="s">
        <v>114</v>
      </c>
      <c r="B66" s="2"/>
      <c r="C66" s="4">
        <v>44222</v>
      </c>
      <c r="D66" s="4"/>
      <c r="E66" s="4">
        <v>44279</v>
      </c>
      <c r="F66" s="5" t="s">
        <v>160</v>
      </c>
      <c r="G66" s="49">
        <v>12.5</v>
      </c>
      <c r="H66" s="5">
        <v>13.4</v>
      </c>
      <c r="I66" s="5">
        <f>56/30*58</f>
        <v>108.26666666666667</v>
      </c>
      <c r="J66" s="5">
        <v>100</v>
      </c>
      <c r="K66" s="5"/>
      <c r="L66" s="6">
        <v>140</v>
      </c>
      <c r="M66" s="61">
        <v>56</v>
      </c>
      <c r="N66" s="5">
        <f>(12.5+71.5*0.7)</f>
        <v>62.55</v>
      </c>
      <c r="O66" s="1" t="s">
        <v>145</v>
      </c>
    </row>
    <row r="67" spans="1:15">
      <c r="A67" s="2" t="s">
        <v>112</v>
      </c>
      <c r="B67" s="2"/>
      <c r="C67" s="4">
        <v>44270</v>
      </c>
      <c r="D67" s="4"/>
      <c r="E67" s="4">
        <v>44286</v>
      </c>
      <c r="F67" s="5" t="s">
        <v>160</v>
      </c>
      <c r="G67" s="49">
        <v>17.5</v>
      </c>
      <c r="H67" s="5">
        <v>31.96</v>
      </c>
      <c r="I67" s="5">
        <f>55/30*16</f>
        <v>29.333333333333332</v>
      </c>
      <c r="J67" s="5">
        <v>75</v>
      </c>
      <c r="K67" s="5"/>
      <c r="L67" s="6">
        <v>100</v>
      </c>
      <c r="M67" s="61">
        <v>55</v>
      </c>
      <c r="N67" s="6">
        <f>(17.5+27.5*0.7)</f>
        <v>36.75</v>
      </c>
    </row>
    <row r="68" spans="1:15">
      <c r="A68" s="2" t="s">
        <v>119</v>
      </c>
      <c r="B68" s="2"/>
      <c r="C68" s="4">
        <v>44281</v>
      </c>
      <c r="D68" s="4"/>
      <c r="E68" s="4">
        <v>44316</v>
      </c>
      <c r="F68" s="40"/>
      <c r="G68" s="2"/>
      <c r="H68" s="5">
        <v>14.26</v>
      </c>
      <c r="I68" s="5">
        <f>45/30*34</f>
        <v>51</v>
      </c>
      <c r="J68" s="5"/>
      <c r="K68" s="5"/>
      <c r="L68" s="6">
        <v>110</v>
      </c>
      <c r="M68" s="61">
        <v>45</v>
      </c>
      <c r="N68" s="6">
        <f>(65*0.7)</f>
        <v>45.5</v>
      </c>
    </row>
    <row r="69" spans="1:15">
      <c r="A69" s="22" t="s">
        <v>121</v>
      </c>
      <c r="B69" s="22"/>
      <c r="C69" s="4">
        <v>44316</v>
      </c>
      <c r="D69" s="4"/>
      <c r="E69" s="4">
        <v>44354</v>
      </c>
      <c r="F69" s="40"/>
      <c r="G69" s="2"/>
      <c r="H69" s="5">
        <v>15.15</v>
      </c>
      <c r="I69" s="5">
        <f>36/30*37</f>
        <v>44.4</v>
      </c>
      <c r="J69" s="5"/>
      <c r="K69" s="5"/>
      <c r="L69" s="6">
        <v>110</v>
      </c>
      <c r="M69" s="61">
        <v>36</v>
      </c>
      <c r="N69" s="5">
        <f>(L69-M69)*0.7</f>
        <v>51.8</v>
      </c>
      <c r="O69" s="1" t="s">
        <v>145</v>
      </c>
    </row>
    <row r="70" spans="1:15">
      <c r="A70" s="22" t="s">
        <v>126</v>
      </c>
      <c r="B70" s="22"/>
      <c r="C70" s="4">
        <v>44336</v>
      </c>
      <c r="D70" s="4"/>
      <c r="E70" s="4">
        <v>44370</v>
      </c>
      <c r="F70" s="5" t="s">
        <v>161</v>
      </c>
      <c r="G70" s="49">
        <v>17.5</v>
      </c>
      <c r="H70" s="5">
        <v>35.78</v>
      </c>
      <c r="I70" s="5">
        <f>58/30*33</f>
        <v>63.8</v>
      </c>
      <c r="J70" s="5">
        <v>50</v>
      </c>
      <c r="K70" s="5"/>
      <c r="L70" s="6">
        <v>150</v>
      </c>
      <c r="M70" s="61">
        <v>58</v>
      </c>
      <c r="N70" s="6">
        <f>(17.5+74.5*0.7)</f>
        <v>69.650000000000006</v>
      </c>
    </row>
    <row r="71" spans="1:15">
      <c r="A71" s="44" t="s">
        <v>125</v>
      </c>
      <c r="B71" s="44"/>
      <c r="C71" s="4">
        <v>44342</v>
      </c>
      <c r="D71" s="4"/>
      <c r="E71" s="4">
        <v>44386</v>
      </c>
      <c r="F71" s="5" t="s">
        <v>160</v>
      </c>
      <c r="G71" s="49">
        <v>12.5</v>
      </c>
      <c r="H71" s="5">
        <v>15.46</v>
      </c>
      <c r="I71" s="5">
        <f>36/30*43</f>
        <v>51.6</v>
      </c>
      <c r="J71" s="5">
        <f>50+45</f>
        <v>95</v>
      </c>
      <c r="K71" s="5"/>
      <c r="L71" s="6">
        <v>80</v>
      </c>
      <c r="M71" s="61">
        <v>33</v>
      </c>
      <c r="N71" s="6">
        <f>12.5+(L71-M71-12.5)*0.7</f>
        <v>36.65</v>
      </c>
    </row>
    <row r="72" spans="1:15">
      <c r="A72" s="44" t="s">
        <v>129</v>
      </c>
      <c r="B72" s="44"/>
      <c r="C72" s="4">
        <v>44348</v>
      </c>
      <c r="D72" s="4"/>
      <c r="E72" s="4">
        <v>44389</v>
      </c>
      <c r="F72" s="5" t="s">
        <v>160</v>
      </c>
      <c r="G72" s="49">
        <v>12.5</v>
      </c>
      <c r="H72" s="5">
        <v>26.22</v>
      </c>
      <c r="I72" s="5">
        <f>71/30*42</f>
        <v>99.4</v>
      </c>
      <c r="J72" s="5">
        <f>50+45</f>
        <v>95</v>
      </c>
      <c r="K72" s="5"/>
      <c r="L72" s="6">
        <v>140</v>
      </c>
      <c r="M72" s="61">
        <v>71</v>
      </c>
      <c r="N72" s="6">
        <f>(12.5+(127.5-71)*0.7)</f>
        <v>52.05</v>
      </c>
    </row>
    <row r="73" spans="1:15">
      <c r="A73" s="44" t="s">
        <v>124</v>
      </c>
      <c r="B73" s="44"/>
      <c r="C73" s="4">
        <v>44348</v>
      </c>
      <c r="D73" s="4"/>
      <c r="E73" s="4">
        <v>44389</v>
      </c>
      <c r="F73" s="40"/>
      <c r="G73" s="2"/>
      <c r="H73" s="5">
        <v>11.62</v>
      </c>
      <c r="I73" s="5">
        <f>26/30*42</f>
        <v>36.4</v>
      </c>
      <c r="J73" s="5">
        <v>65</v>
      </c>
      <c r="K73" s="5"/>
      <c r="L73" s="6">
        <v>70</v>
      </c>
      <c r="M73" s="61">
        <v>26</v>
      </c>
      <c r="N73" s="6">
        <f>(70-26)*0.7</f>
        <v>30.799999999999997</v>
      </c>
    </row>
    <row r="74" spans="1:15">
      <c r="A74" s="44" t="s">
        <v>132</v>
      </c>
      <c r="B74" s="44"/>
      <c r="C74" s="4">
        <v>44407</v>
      </c>
      <c r="D74" s="4"/>
      <c r="E74" s="4">
        <v>44461</v>
      </c>
      <c r="F74" s="40"/>
      <c r="G74" s="2"/>
      <c r="H74" s="5">
        <v>9.8800000000000008</v>
      </c>
      <c r="I74" s="5">
        <f>25/30*52</f>
        <v>43.333333333333336</v>
      </c>
      <c r="J74" s="5"/>
      <c r="K74" s="5"/>
      <c r="L74" s="6">
        <v>40</v>
      </c>
      <c r="M74" s="61">
        <v>25</v>
      </c>
      <c r="N74" s="6">
        <f>(L74-M74)*0.7</f>
        <v>10.5</v>
      </c>
    </row>
    <row r="75" spans="1:15">
      <c r="A75" s="44" t="s">
        <v>133</v>
      </c>
      <c r="B75" s="44"/>
      <c r="C75" s="4">
        <v>44432</v>
      </c>
      <c r="D75" s="4"/>
      <c r="E75" s="4">
        <v>44467</v>
      </c>
      <c r="F75" s="40"/>
      <c r="G75" s="2"/>
      <c r="H75" s="5">
        <v>9.8800000000000008</v>
      </c>
      <c r="I75" s="5">
        <f>25/30*34</f>
        <v>28.333333333333336</v>
      </c>
      <c r="J75" s="5"/>
      <c r="K75" s="5"/>
      <c r="L75" s="6">
        <v>40</v>
      </c>
      <c r="M75" s="61">
        <v>25</v>
      </c>
      <c r="N75" s="6">
        <f>(L75-M75)*0.7</f>
        <v>10.5</v>
      </c>
    </row>
    <row r="76" spans="1:15">
      <c r="A76" s="52" t="s">
        <v>141</v>
      </c>
      <c r="B76" s="52"/>
      <c r="C76" s="57">
        <v>44459</v>
      </c>
      <c r="D76" s="57"/>
      <c r="E76" s="57">
        <v>44481</v>
      </c>
      <c r="F76" s="10" t="s">
        <v>161</v>
      </c>
      <c r="G76" s="12">
        <v>10</v>
      </c>
      <c r="H76" s="25">
        <v>15.15</v>
      </c>
      <c r="I76" s="25">
        <f>46/30*22</f>
        <v>33.733333333333334</v>
      </c>
      <c r="J76" s="25">
        <v>80</v>
      </c>
      <c r="K76" s="25"/>
      <c r="L76" s="27">
        <v>120</v>
      </c>
      <c r="M76" s="64">
        <v>46</v>
      </c>
      <c r="N76" s="27">
        <f>10+(120-56)*0.7</f>
        <v>54.8</v>
      </c>
    </row>
    <row r="77" spans="1:15">
      <c r="A77" s="52" t="s">
        <v>140</v>
      </c>
      <c r="B77" s="52"/>
      <c r="C77" s="57">
        <v>44449</v>
      </c>
      <c r="D77" s="57"/>
      <c r="E77" s="57">
        <v>44482</v>
      </c>
      <c r="F77" s="25" t="s">
        <v>160</v>
      </c>
      <c r="G77" s="58">
        <v>10</v>
      </c>
      <c r="H77" s="25">
        <v>13.4</v>
      </c>
      <c r="I77" s="25">
        <f>60/30*33</f>
        <v>66</v>
      </c>
      <c r="J77" s="25">
        <v>80</v>
      </c>
      <c r="K77" s="25"/>
      <c r="L77" s="27">
        <v>120</v>
      </c>
      <c r="M77" s="64">
        <v>61</v>
      </c>
      <c r="N77" s="27">
        <f>(10+49*0.7)</f>
        <v>44.3</v>
      </c>
    </row>
    <row r="78" spans="1:15">
      <c r="A78" s="44" t="s">
        <v>137</v>
      </c>
      <c r="B78" s="44"/>
      <c r="C78" s="35">
        <v>44474</v>
      </c>
      <c r="D78" s="35"/>
      <c r="E78" s="35">
        <v>44487</v>
      </c>
      <c r="F78" s="10" t="s">
        <v>161</v>
      </c>
      <c r="G78" s="12">
        <v>12.5</v>
      </c>
      <c r="H78" s="5">
        <v>15.15</v>
      </c>
      <c r="I78" s="5">
        <f>71/30*13</f>
        <v>30.766666666666666</v>
      </c>
      <c r="J78" s="5">
        <v>95</v>
      </c>
      <c r="K78" s="5"/>
      <c r="L78" s="6">
        <v>140</v>
      </c>
      <c r="M78" s="61">
        <v>71</v>
      </c>
      <c r="N78" s="6">
        <f>12.5+(56.5)*0.7</f>
        <v>52.05</v>
      </c>
    </row>
    <row r="79" spans="1:15">
      <c r="A79" s="44" t="s">
        <v>143</v>
      </c>
      <c r="B79" s="44"/>
      <c r="C79" s="35">
        <v>43717</v>
      </c>
      <c r="D79" s="35"/>
      <c r="E79" s="35">
        <v>44505</v>
      </c>
      <c r="F79" s="40"/>
      <c r="G79" s="49"/>
      <c r="H79" s="5">
        <v>13.4</v>
      </c>
      <c r="I79" s="5">
        <f>36*25+36/30*26</f>
        <v>931.2</v>
      </c>
      <c r="J79" s="5"/>
      <c r="K79" s="5"/>
      <c r="L79" s="6">
        <v>100</v>
      </c>
      <c r="M79" s="61">
        <v>36</v>
      </c>
      <c r="N79" s="6">
        <f>(100-36)*0.7</f>
        <v>44.8</v>
      </c>
    </row>
    <row r="80" spans="1:15">
      <c r="A80" s="44" t="s">
        <v>139</v>
      </c>
      <c r="B80" s="44"/>
      <c r="C80" s="35">
        <v>44492</v>
      </c>
      <c r="D80" s="35"/>
      <c r="E80" s="35">
        <v>44539</v>
      </c>
      <c r="F80" s="40"/>
      <c r="G80" s="49"/>
      <c r="H80" s="5">
        <v>16.350000000000001</v>
      </c>
      <c r="I80" s="5">
        <f>71/30*46</f>
        <v>108.86666666666667</v>
      </c>
      <c r="J80" s="5">
        <v>95</v>
      </c>
      <c r="K80" s="5"/>
      <c r="L80" s="6">
        <v>140</v>
      </c>
      <c r="M80" s="61">
        <v>71</v>
      </c>
      <c r="N80" s="6">
        <f>(140-71)*0.7/30*21</f>
        <v>33.809999999999995</v>
      </c>
    </row>
    <row r="81" spans="1:14">
      <c r="A81" s="44" t="s">
        <v>144</v>
      </c>
      <c r="B81" s="44"/>
      <c r="C81" s="35">
        <v>44526</v>
      </c>
      <c r="D81" s="35"/>
      <c r="E81" s="35">
        <v>44550</v>
      </c>
      <c r="F81" s="5" t="s">
        <v>160</v>
      </c>
      <c r="G81" s="49">
        <v>12.5</v>
      </c>
      <c r="H81" s="5">
        <v>13.4</v>
      </c>
      <c r="I81" s="5">
        <f>83/30*24</f>
        <v>66.400000000000006</v>
      </c>
      <c r="J81" s="5"/>
      <c r="K81" s="5"/>
      <c r="L81" s="6">
        <v>140</v>
      </c>
      <c r="M81" s="61">
        <v>94</v>
      </c>
      <c r="N81" s="6">
        <f>12.5+(140-12.5-94)*0.7</f>
        <v>35.950000000000003</v>
      </c>
    </row>
    <row r="82" spans="1:14">
      <c r="A82" s="44" t="s">
        <v>149</v>
      </c>
      <c r="B82" s="44"/>
      <c r="C82" s="35">
        <v>44880</v>
      </c>
      <c r="D82" s="35"/>
      <c r="E82" s="35">
        <v>44575</v>
      </c>
      <c r="F82" s="40"/>
      <c r="G82" s="49"/>
      <c r="H82" s="5">
        <v>13.4</v>
      </c>
      <c r="I82" s="5"/>
      <c r="J82" s="5">
        <v>50</v>
      </c>
      <c r="K82" s="5"/>
      <c r="L82" s="6">
        <v>160</v>
      </c>
      <c r="M82" s="61">
        <f>71+9</f>
        <v>80</v>
      </c>
      <c r="N82" s="6">
        <f>(160-80)*0.7</f>
        <v>56</v>
      </c>
    </row>
    <row r="83" spans="1:14">
      <c r="A83" s="44" t="s">
        <v>146</v>
      </c>
      <c r="B83" s="44"/>
      <c r="C83" s="4">
        <v>44586</v>
      </c>
      <c r="D83" s="4"/>
      <c r="E83" s="4">
        <v>44615</v>
      </c>
      <c r="F83" s="10" t="s">
        <v>161</v>
      </c>
      <c r="G83" s="12">
        <v>12.5</v>
      </c>
      <c r="H83" s="5">
        <v>15.46</v>
      </c>
      <c r="I83" s="5">
        <f>27/30*28</f>
        <v>25.2</v>
      </c>
      <c r="J83" s="5">
        <v>110</v>
      </c>
      <c r="K83" s="5"/>
      <c r="L83" s="6">
        <v>154</v>
      </c>
      <c r="M83" s="61">
        <v>62</v>
      </c>
      <c r="N83" s="6">
        <f>12.5+(154-12.5-62)*0.7</f>
        <v>68.150000000000006</v>
      </c>
    </row>
    <row r="84" spans="1:14">
      <c r="A84" s="44" t="s">
        <v>148</v>
      </c>
      <c r="B84" s="44"/>
      <c r="C84" s="4">
        <v>44579</v>
      </c>
      <c r="D84" s="4"/>
      <c r="E84" s="4">
        <v>44594</v>
      </c>
      <c r="F84" s="40"/>
      <c r="G84" s="49"/>
      <c r="H84" s="5">
        <v>13.4</v>
      </c>
      <c r="I84" s="5">
        <f>22/30*14</f>
        <v>10.266666666666666</v>
      </c>
      <c r="J84" s="5">
        <v>30</v>
      </c>
      <c r="K84" s="5"/>
      <c r="L84" s="6">
        <v>50</v>
      </c>
      <c r="M84" s="61">
        <v>22</v>
      </c>
      <c r="N84" s="6">
        <f>(50-22)*0.7</f>
        <v>19.599999999999998</v>
      </c>
    </row>
    <row r="85" spans="1:14">
      <c r="A85" s="44" t="s">
        <v>150</v>
      </c>
      <c r="B85" s="44"/>
      <c r="C85" s="4">
        <v>44899</v>
      </c>
      <c r="D85" s="4"/>
      <c r="E85" s="4">
        <v>44607</v>
      </c>
      <c r="F85" s="12" t="s">
        <v>160</v>
      </c>
      <c r="G85" s="12">
        <v>12.5</v>
      </c>
      <c r="H85" s="5">
        <v>13.4</v>
      </c>
      <c r="I85" s="5">
        <f>71/30*61</f>
        <v>144.36666666666667</v>
      </c>
      <c r="J85" s="5">
        <v>80</v>
      </c>
      <c r="K85" s="5"/>
      <c r="L85" s="6">
        <v>120</v>
      </c>
      <c r="M85" s="61">
        <v>60</v>
      </c>
      <c r="N85" s="6">
        <f>12.5+(120-72.5)*0.7</f>
        <v>45.75</v>
      </c>
    </row>
    <row r="86" spans="1:14">
      <c r="A86" s="44" t="s">
        <v>151</v>
      </c>
      <c r="B86" s="44"/>
      <c r="C86" s="4">
        <v>44926</v>
      </c>
      <c r="D86" s="4"/>
      <c r="E86" s="4">
        <v>44649</v>
      </c>
      <c r="F86" s="40"/>
      <c r="G86" s="40"/>
      <c r="H86" s="5">
        <v>9.0299999999999994</v>
      </c>
      <c r="I86" s="5">
        <f>25*2+25/30*29</f>
        <v>74.166666666666671</v>
      </c>
      <c r="J86" s="5">
        <v>80</v>
      </c>
      <c r="K86" s="5"/>
      <c r="L86" s="6">
        <v>67.5</v>
      </c>
      <c r="M86" s="61">
        <v>25</v>
      </c>
      <c r="N86" s="6">
        <f>(67.5-25)*0.7</f>
        <v>29.749999999999996</v>
      </c>
    </row>
    <row r="87" spans="1:14">
      <c r="A87" s="44" t="s">
        <v>152</v>
      </c>
      <c r="B87" s="44"/>
      <c r="C87" s="4">
        <v>44852</v>
      </c>
      <c r="D87" s="4"/>
      <c r="E87" s="4">
        <v>44649</v>
      </c>
      <c r="F87" s="40"/>
      <c r="G87" s="40"/>
      <c r="H87" s="5">
        <v>9.0299999999999994</v>
      </c>
      <c r="I87" s="5">
        <f>45*4+45/30*13</f>
        <v>199.5</v>
      </c>
      <c r="J87" s="5">
        <v>80</v>
      </c>
      <c r="K87" s="5"/>
      <c r="L87" s="6">
        <v>67.5</v>
      </c>
      <c r="M87" s="61">
        <v>45</v>
      </c>
      <c r="N87" s="6">
        <f>(L87-M87)*0.7</f>
        <v>15.749999999999998</v>
      </c>
    </row>
    <row r="88" spans="1:14">
      <c r="A88" s="44" t="s">
        <v>153</v>
      </c>
      <c r="B88" s="44"/>
      <c r="C88" s="4">
        <v>44623</v>
      </c>
      <c r="D88" s="4"/>
      <c r="E88" s="4">
        <v>44623</v>
      </c>
      <c r="F88" s="40"/>
      <c r="G88" s="40"/>
      <c r="H88" s="5">
        <v>11.03</v>
      </c>
      <c r="I88" s="5">
        <v>0</v>
      </c>
      <c r="J88" s="5">
        <v>15</v>
      </c>
      <c r="K88" s="5"/>
      <c r="L88" s="6">
        <v>30</v>
      </c>
      <c r="M88" s="61">
        <v>12</v>
      </c>
      <c r="N88" s="6">
        <f>(L88-M88)*0.7</f>
        <v>12.6</v>
      </c>
    </row>
    <row r="89" spans="1:14">
      <c r="A89" s="44" t="s">
        <v>154</v>
      </c>
      <c r="B89" s="44"/>
      <c r="C89" s="4">
        <v>44881</v>
      </c>
      <c r="D89" s="4"/>
      <c r="E89" s="4">
        <v>44628</v>
      </c>
      <c r="F89" s="40"/>
      <c r="G89" s="40"/>
      <c r="H89" s="5">
        <v>9.0299999999999994</v>
      </c>
      <c r="I89" s="5">
        <f>65*3+65/30*22</f>
        <v>242.66666666666666</v>
      </c>
      <c r="J89" s="5">
        <v>95</v>
      </c>
      <c r="K89" s="5"/>
      <c r="L89" s="6">
        <v>112</v>
      </c>
      <c r="M89" s="61">
        <v>65</v>
      </c>
      <c r="N89" s="6">
        <f>(L89-M89)*0.7</f>
        <v>32.9</v>
      </c>
    </row>
    <row r="90" spans="1:14">
      <c r="A90" s="44" t="s">
        <v>155</v>
      </c>
      <c r="B90" s="44"/>
      <c r="C90" s="4">
        <v>44490</v>
      </c>
      <c r="D90" s="4"/>
      <c r="E90" s="4">
        <v>44648</v>
      </c>
      <c r="F90" s="40"/>
      <c r="G90" s="40"/>
      <c r="H90" s="5">
        <v>13.4</v>
      </c>
      <c r="I90" s="5">
        <f>45*5+45/30*7</f>
        <v>235.5</v>
      </c>
      <c r="J90" s="5">
        <v>80</v>
      </c>
      <c r="K90" s="5"/>
      <c r="L90" s="6">
        <v>67.5</v>
      </c>
      <c r="M90" s="61">
        <v>45</v>
      </c>
      <c r="N90" s="6">
        <f>(L90-M90)*0.7</f>
        <v>15.749999999999998</v>
      </c>
    </row>
    <row r="91" spans="1:14">
      <c r="A91" s="44" t="s">
        <v>156</v>
      </c>
      <c r="B91" s="44"/>
      <c r="C91" s="4">
        <v>44489</v>
      </c>
      <c r="D91" s="4"/>
      <c r="E91" s="4">
        <v>44651</v>
      </c>
      <c r="F91" s="40"/>
      <c r="G91" s="40"/>
      <c r="H91" s="5">
        <v>15.46</v>
      </c>
      <c r="I91" s="5">
        <f>50*5+50/10</f>
        <v>255</v>
      </c>
      <c r="J91" s="5">
        <v>145</v>
      </c>
      <c r="K91" s="5"/>
      <c r="L91" s="6">
        <v>125</v>
      </c>
      <c r="M91" s="61">
        <v>50</v>
      </c>
      <c r="N91" s="6">
        <f>(L91-M91)*0.7</f>
        <v>52.5</v>
      </c>
    </row>
    <row r="92" spans="1:14">
      <c r="A92" s="44" t="s">
        <v>157</v>
      </c>
      <c r="B92" s="44"/>
      <c r="C92" s="4">
        <v>44627</v>
      </c>
      <c r="D92" s="4"/>
      <c r="E92" s="4">
        <v>44627</v>
      </c>
      <c r="F92" s="10" t="s">
        <v>161</v>
      </c>
      <c r="G92" s="12">
        <v>10</v>
      </c>
      <c r="H92" s="5">
        <v>15.46</v>
      </c>
      <c r="I92" s="5">
        <v>0</v>
      </c>
      <c r="J92" s="5">
        <v>0</v>
      </c>
      <c r="K92" s="5"/>
      <c r="L92" s="6">
        <v>100</v>
      </c>
      <c r="M92" s="61">
        <v>44</v>
      </c>
      <c r="N92" s="6">
        <f>10+(46)*0.7</f>
        <v>42.199999999999996</v>
      </c>
    </row>
    <row r="93" spans="1:14">
      <c r="A93" s="44" t="s">
        <v>158</v>
      </c>
      <c r="B93" s="44"/>
      <c r="C93" s="4">
        <v>44627</v>
      </c>
      <c r="D93" s="4"/>
      <c r="E93" s="4">
        <v>44627</v>
      </c>
      <c r="F93" s="10" t="s">
        <v>161</v>
      </c>
      <c r="G93" s="12">
        <v>12.5</v>
      </c>
      <c r="H93" s="5">
        <v>15.46</v>
      </c>
      <c r="I93" s="5">
        <v>0</v>
      </c>
      <c r="J93" s="5">
        <v>0</v>
      </c>
      <c r="K93" s="5"/>
      <c r="L93" s="6">
        <v>125</v>
      </c>
      <c r="M93" s="61">
        <v>55</v>
      </c>
      <c r="N93" s="6">
        <f>12.5+(57.5)*0.7</f>
        <v>52.75</v>
      </c>
    </row>
    <row r="94" spans="1:14">
      <c r="A94" s="44" t="s">
        <v>168</v>
      </c>
      <c r="B94" s="44"/>
      <c r="C94" s="4">
        <v>44636</v>
      </c>
      <c r="D94" s="4"/>
      <c r="E94" s="4">
        <v>44659</v>
      </c>
      <c r="F94" s="40"/>
      <c r="G94" s="5"/>
      <c r="H94" s="5">
        <v>13.72</v>
      </c>
      <c r="I94" s="5">
        <f>55/30*24</f>
        <v>44</v>
      </c>
      <c r="J94" s="5">
        <v>80</v>
      </c>
      <c r="K94" s="5"/>
      <c r="L94" s="6">
        <v>120</v>
      </c>
      <c r="M94" s="61">
        <v>55</v>
      </c>
      <c r="N94" s="6">
        <f>10+(110-M94)*0.7</f>
        <v>48.5</v>
      </c>
    </row>
    <row r="95" spans="1:14">
      <c r="A95" s="44" t="s">
        <v>171</v>
      </c>
      <c r="B95" s="44"/>
      <c r="C95" s="4">
        <v>44648</v>
      </c>
      <c r="D95" s="4"/>
      <c r="E95" s="4">
        <v>44734</v>
      </c>
      <c r="F95" s="40"/>
      <c r="G95" s="5"/>
      <c r="H95" s="5">
        <v>13.72</v>
      </c>
      <c r="I95" s="5">
        <f>56/30*84</f>
        <v>156.80000000000001</v>
      </c>
      <c r="J95" s="5">
        <v>95</v>
      </c>
      <c r="K95" s="5"/>
      <c r="L95" s="6">
        <v>140</v>
      </c>
      <c r="M95" s="61">
        <v>56</v>
      </c>
      <c r="N95" s="6">
        <f>(140-56)*0.7</f>
        <v>58.8</v>
      </c>
    </row>
    <row r="96" spans="1:14">
      <c r="A96" s="44" t="s">
        <v>172</v>
      </c>
      <c r="B96" s="44"/>
      <c r="C96" s="4">
        <v>44705</v>
      </c>
      <c r="D96" s="4"/>
      <c r="E96" s="4">
        <v>44715</v>
      </c>
      <c r="F96" s="40"/>
      <c r="G96" s="5"/>
      <c r="H96" s="5">
        <v>10.039999999999999</v>
      </c>
      <c r="I96" s="5">
        <f>25/30*9</f>
        <v>7.5</v>
      </c>
      <c r="J96" s="5"/>
      <c r="K96" s="5"/>
      <c r="L96" s="6">
        <v>50</v>
      </c>
      <c r="M96" s="61">
        <v>25</v>
      </c>
      <c r="N96" s="6">
        <f>(50-25)*0.7</f>
        <v>17.5</v>
      </c>
    </row>
    <row r="97" spans="1:14">
      <c r="A97" s="44" t="s">
        <v>173</v>
      </c>
      <c r="B97" s="44"/>
      <c r="C97" s="4">
        <v>44704</v>
      </c>
      <c r="D97" s="4"/>
      <c r="E97" s="4">
        <v>44721</v>
      </c>
      <c r="F97" s="10" t="s">
        <v>161</v>
      </c>
      <c r="G97" s="56">
        <v>12.5</v>
      </c>
      <c r="H97" s="5">
        <v>13.72</v>
      </c>
      <c r="I97" s="5">
        <f>37/30*16</f>
        <v>19.733333333333334</v>
      </c>
      <c r="J97" s="5">
        <f>50+45</f>
        <v>95</v>
      </c>
      <c r="K97" s="5"/>
      <c r="L97" s="6">
        <v>110</v>
      </c>
      <c r="M97" s="61">
        <v>37</v>
      </c>
      <c r="N97" s="56">
        <f>12.5+(97.5-37)*0.7</f>
        <v>54.849999999999994</v>
      </c>
    </row>
    <row r="98" spans="1:14">
      <c r="A98" s="44" t="s">
        <v>174</v>
      </c>
      <c r="B98" s="44"/>
      <c r="C98" s="4">
        <v>44715</v>
      </c>
      <c r="D98" s="4"/>
      <c r="E98" s="4">
        <v>44820</v>
      </c>
      <c r="F98" s="10" t="s">
        <v>161</v>
      </c>
      <c r="G98" s="56">
        <v>15</v>
      </c>
      <c r="H98" s="5">
        <v>14.6</v>
      </c>
      <c r="I98" s="5">
        <f>56/30*103</f>
        <v>192.26666666666668</v>
      </c>
      <c r="J98" s="5">
        <v>50</v>
      </c>
      <c r="K98" s="5"/>
      <c r="L98" s="6">
        <f>130</f>
        <v>130</v>
      </c>
      <c r="M98" s="61">
        <v>56</v>
      </c>
      <c r="N98" s="56">
        <f>15+(115-56)*0.7</f>
        <v>56.3</v>
      </c>
    </row>
    <row r="99" spans="1:14">
      <c r="A99" s="44" t="s">
        <v>183</v>
      </c>
      <c r="B99" s="44"/>
      <c r="C99" s="4">
        <v>44749</v>
      </c>
      <c r="D99" s="4">
        <v>44830</v>
      </c>
      <c r="E99" s="4">
        <v>44858</v>
      </c>
      <c r="F99" s="40"/>
      <c r="G99" s="5"/>
      <c r="H99" s="5">
        <v>11.03</v>
      </c>
      <c r="I99" s="5">
        <v>25</v>
      </c>
      <c r="J99" s="5">
        <v>15</v>
      </c>
      <c r="K99" s="5"/>
      <c r="L99" s="6">
        <v>80</v>
      </c>
      <c r="M99" s="61">
        <v>25</v>
      </c>
      <c r="N99" s="6">
        <f>55*0.7</f>
        <v>38.5</v>
      </c>
    </row>
    <row r="100" spans="1:14">
      <c r="A100" s="44" t="s">
        <v>184</v>
      </c>
      <c r="B100" s="44"/>
      <c r="C100" s="4">
        <v>44775</v>
      </c>
      <c r="D100" s="4">
        <v>44810</v>
      </c>
      <c r="E100" s="4">
        <v>44848</v>
      </c>
      <c r="F100" s="40"/>
      <c r="G100" s="5"/>
      <c r="H100" s="5">
        <v>23.38</v>
      </c>
      <c r="I100" s="5">
        <f>100/30*38</f>
        <v>126.66666666666667</v>
      </c>
      <c r="J100" s="5">
        <v>155</v>
      </c>
      <c r="K100" s="5"/>
      <c r="L100" s="6">
        <v>220</v>
      </c>
      <c r="M100" s="61">
        <v>100</v>
      </c>
      <c r="N100" s="6">
        <v>90.75</v>
      </c>
    </row>
    <row r="101" spans="1:14">
      <c r="A101" s="44" t="s">
        <v>185</v>
      </c>
      <c r="B101" s="44"/>
      <c r="C101" s="4">
        <v>44830</v>
      </c>
      <c r="D101" s="4">
        <v>44852</v>
      </c>
      <c r="E101" s="4">
        <v>44858</v>
      </c>
      <c r="F101" s="10" t="s">
        <v>161</v>
      </c>
      <c r="G101" s="12">
        <v>12.5</v>
      </c>
      <c r="H101" s="5">
        <v>23.38</v>
      </c>
      <c r="I101" s="5">
        <f>54.5/30*6</f>
        <v>10.9</v>
      </c>
      <c r="J101" s="5">
        <v>95</v>
      </c>
      <c r="K101" s="5"/>
      <c r="L101" s="6">
        <v>140</v>
      </c>
      <c r="M101" s="61">
        <v>55.5</v>
      </c>
      <c r="N101" s="6">
        <f>12.5+(127.5-55.5)*0.7</f>
        <v>62.9</v>
      </c>
    </row>
    <row r="102" spans="1:14">
      <c r="A102" s="44" t="s">
        <v>190</v>
      </c>
      <c r="B102" s="44"/>
      <c r="C102" s="4"/>
      <c r="D102" s="4">
        <v>44879</v>
      </c>
      <c r="E102" s="35">
        <v>44887</v>
      </c>
      <c r="F102" s="44" t="s">
        <v>161</v>
      </c>
      <c r="G102" s="56">
        <v>10</v>
      </c>
      <c r="H102" s="5">
        <v>14.6</v>
      </c>
      <c r="I102" s="5">
        <f>34/30*8</f>
        <v>9.0666666666666664</v>
      </c>
      <c r="J102" s="5">
        <v>45</v>
      </c>
      <c r="K102" s="5"/>
      <c r="L102" s="6">
        <v>90</v>
      </c>
      <c r="M102" s="61">
        <v>34</v>
      </c>
      <c r="N102" s="56">
        <f>10+(80-34)*0.7</f>
        <v>42.199999999999996</v>
      </c>
    </row>
    <row r="103" spans="1:14">
      <c r="A103" s="44" t="s">
        <v>193</v>
      </c>
      <c r="B103" s="44"/>
      <c r="C103" s="4">
        <v>44872</v>
      </c>
      <c r="D103" s="4">
        <v>44879</v>
      </c>
      <c r="E103" s="35">
        <v>44882</v>
      </c>
      <c r="F103" s="40"/>
      <c r="G103" s="5"/>
      <c r="H103" s="5">
        <v>10.039999999999999</v>
      </c>
      <c r="I103" s="5">
        <f>25/30*3</f>
        <v>2.5</v>
      </c>
      <c r="J103" s="5"/>
      <c r="K103" s="5"/>
      <c r="L103" s="6">
        <v>40</v>
      </c>
      <c r="M103" s="61">
        <v>25</v>
      </c>
      <c r="N103" s="6">
        <f>(L103-M103)*0.7</f>
        <v>10.5</v>
      </c>
    </row>
    <row r="104" spans="1:14">
      <c r="A104" s="44" t="s">
        <v>213</v>
      </c>
      <c r="B104" s="44"/>
      <c r="C104" s="4">
        <v>44894</v>
      </c>
      <c r="D104" s="4">
        <v>44908</v>
      </c>
      <c r="E104" s="35">
        <v>44944</v>
      </c>
      <c r="F104" s="40" t="s">
        <v>161</v>
      </c>
      <c r="G104" s="5">
        <v>15</v>
      </c>
      <c r="H104" s="5">
        <v>31.72</v>
      </c>
      <c r="I104" s="5">
        <f>50/30*35</f>
        <v>58.333333333333336</v>
      </c>
      <c r="J104" s="5">
        <f>60+50</f>
        <v>110</v>
      </c>
      <c r="K104" s="5"/>
      <c r="L104" s="6">
        <v>130</v>
      </c>
      <c r="M104" s="61">
        <f>19+2+3.5*2+11*2</f>
        <v>50</v>
      </c>
      <c r="N104" s="94">
        <f>15+(L104-M104-15)*0.7</f>
        <v>60.5</v>
      </c>
    </row>
    <row r="105" spans="1:14">
      <c r="A105" s="44" t="s">
        <v>227</v>
      </c>
      <c r="B105" s="44"/>
      <c r="C105" s="4">
        <v>44949</v>
      </c>
      <c r="D105" s="4">
        <v>44953</v>
      </c>
      <c r="E105" s="35">
        <v>44966</v>
      </c>
      <c r="F105" s="40" t="s">
        <v>160</v>
      </c>
      <c r="G105" s="5">
        <v>15</v>
      </c>
      <c r="H105" s="5">
        <v>16.38</v>
      </c>
      <c r="I105" s="5">
        <f>61.5/30*12</f>
        <v>24.599999999999998</v>
      </c>
      <c r="J105" s="5">
        <f>50+60</f>
        <v>110</v>
      </c>
      <c r="K105" s="5"/>
      <c r="L105" s="6">
        <v>160</v>
      </c>
      <c r="M105" s="65">
        <f>32.5+7+22</f>
        <v>61.5</v>
      </c>
      <c r="N105" s="59">
        <f>15+(L105-M105-15)*0.7</f>
        <v>73.449999999999989</v>
      </c>
    </row>
    <row r="106" spans="1:14">
      <c r="A106" s="44" t="s">
        <v>228</v>
      </c>
      <c r="B106" s="44"/>
      <c r="C106" s="4">
        <v>44957</v>
      </c>
      <c r="D106" s="4">
        <v>44957</v>
      </c>
      <c r="E106" s="35">
        <v>44977</v>
      </c>
      <c r="F106" s="40"/>
      <c r="G106" s="5"/>
      <c r="H106" s="5">
        <v>20.61</v>
      </c>
      <c r="I106" s="5">
        <f>66/30*20</f>
        <v>44</v>
      </c>
      <c r="J106" s="5">
        <v>90</v>
      </c>
      <c r="K106" s="5"/>
      <c r="L106" s="6">
        <v>155</v>
      </c>
      <c r="M106" s="65">
        <v>54</v>
      </c>
      <c r="N106" s="59">
        <f>(L106-M106)*0.7</f>
        <v>70.699999999999989</v>
      </c>
    </row>
    <row r="107" spans="1:14">
      <c r="A107" s="44" t="s">
        <v>255</v>
      </c>
      <c r="B107" s="44"/>
      <c r="C107" s="35">
        <v>44691</v>
      </c>
      <c r="D107" s="35">
        <v>44994</v>
      </c>
      <c r="E107" s="4">
        <v>44994</v>
      </c>
      <c r="F107" s="40"/>
      <c r="G107" s="40"/>
      <c r="H107" s="5">
        <v>11.03</v>
      </c>
      <c r="I107" s="40">
        <f>25*14</f>
        <v>350</v>
      </c>
      <c r="J107" s="40">
        <f>30+50</f>
        <v>80</v>
      </c>
      <c r="K107" s="40"/>
      <c r="L107" s="6">
        <v>90</v>
      </c>
      <c r="M107" s="6">
        <v>25</v>
      </c>
      <c r="N107" s="59">
        <v>48.5</v>
      </c>
    </row>
    <row r="108" spans="1:14">
      <c r="A108" s="44" t="s">
        <v>187</v>
      </c>
      <c r="B108" s="44"/>
      <c r="C108" s="35"/>
      <c r="D108" s="35">
        <v>44991</v>
      </c>
      <c r="E108" s="4">
        <v>44991</v>
      </c>
      <c r="F108" s="40"/>
      <c r="G108" s="40"/>
      <c r="H108" s="5">
        <v>13.31</v>
      </c>
      <c r="I108" s="40"/>
      <c r="J108" s="40">
        <v>45</v>
      </c>
      <c r="K108" s="40"/>
      <c r="L108" s="6">
        <v>80</v>
      </c>
      <c r="M108" s="6">
        <v>27</v>
      </c>
      <c r="N108" s="59">
        <f>(L108-M108)*0.7</f>
        <v>37.099999999999994</v>
      </c>
    </row>
    <row r="109" spans="1:14">
      <c r="A109" s="76" t="s">
        <v>276</v>
      </c>
      <c r="B109" s="44"/>
      <c r="C109" s="35">
        <v>45061</v>
      </c>
      <c r="D109" s="35">
        <v>45070</v>
      </c>
      <c r="E109" s="4"/>
      <c r="F109" s="40"/>
      <c r="G109" s="40"/>
      <c r="H109" s="5">
        <v>11.48</v>
      </c>
      <c r="I109" s="40">
        <f>21/30*9</f>
        <v>6.3</v>
      </c>
      <c r="J109" s="40"/>
      <c r="K109" s="40"/>
      <c r="L109" s="17">
        <f>50</f>
        <v>50</v>
      </c>
      <c r="M109" s="18">
        <v>21</v>
      </c>
      <c r="N109" s="70">
        <f>(50-21)*0.7</f>
        <v>20.299999999999997</v>
      </c>
    </row>
    <row r="110" spans="1:14">
      <c r="A110" s="76" t="s">
        <v>279</v>
      </c>
      <c r="B110" s="44"/>
      <c r="C110" s="35">
        <v>45065</v>
      </c>
      <c r="D110" s="35">
        <v>45070</v>
      </c>
      <c r="E110" s="4"/>
      <c r="F110" s="40"/>
      <c r="G110" s="40"/>
      <c r="H110" s="5">
        <v>11.48</v>
      </c>
      <c r="I110" s="40">
        <f>21/30*5</f>
        <v>3.5</v>
      </c>
      <c r="J110" s="40"/>
      <c r="K110" s="40"/>
      <c r="L110" s="17">
        <f>50</f>
        <v>50</v>
      </c>
      <c r="M110" s="18">
        <v>21</v>
      </c>
      <c r="N110" s="70">
        <f>(50-21)*0.7</f>
        <v>20.299999999999997</v>
      </c>
    </row>
    <row r="111" spans="1:14">
      <c r="A111" s="76" t="s">
        <v>278</v>
      </c>
      <c r="B111" s="52"/>
      <c r="C111" s="57">
        <v>44973</v>
      </c>
      <c r="D111" s="57">
        <v>45070</v>
      </c>
      <c r="E111" s="24"/>
      <c r="F111" s="48"/>
      <c r="G111" s="48"/>
      <c r="H111" s="25">
        <v>11.48</v>
      </c>
      <c r="I111" s="48">
        <f>21/30*98</f>
        <v>68.599999999999994</v>
      </c>
      <c r="J111" s="48"/>
      <c r="K111" s="48"/>
      <c r="L111" s="17">
        <v>50</v>
      </c>
      <c r="M111" s="26">
        <v>21</v>
      </c>
      <c r="N111" s="85">
        <f>(50-21)*0.7</f>
        <v>20.299999999999997</v>
      </c>
    </row>
    <row r="112" spans="1:14">
      <c r="A112" s="10" t="s">
        <v>289</v>
      </c>
      <c r="B112" s="44"/>
      <c r="C112" s="35">
        <v>45110</v>
      </c>
      <c r="D112" s="35">
        <v>45127</v>
      </c>
      <c r="E112" s="4">
        <v>45110</v>
      </c>
      <c r="F112" s="40"/>
      <c r="G112" s="40"/>
      <c r="H112" s="5">
        <v>13.31</v>
      </c>
      <c r="I112" s="40">
        <f>27/30*17</f>
        <v>15.3</v>
      </c>
      <c r="J112" s="40">
        <v>45</v>
      </c>
      <c r="K112" s="40"/>
      <c r="L112" s="6">
        <v>75</v>
      </c>
      <c r="M112" s="6">
        <v>27</v>
      </c>
      <c r="N112" s="59">
        <f>(L112-M112)*0.7</f>
        <v>33.599999999999994</v>
      </c>
    </row>
    <row r="113" spans="1:14">
      <c r="A113" s="10" t="s">
        <v>292</v>
      </c>
      <c r="B113" s="44"/>
      <c r="C113" s="35">
        <v>45138</v>
      </c>
      <c r="D113" s="35">
        <v>45139</v>
      </c>
      <c r="E113" s="35">
        <v>45162</v>
      </c>
      <c r="F113" s="40"/>
      <c r="G113" s="40"/>
      <c r="H113" s="5">
        <v>12.48</v>
      </c>
      <c r="I113" s="40">
        <f>27/30*23</f>
        <v>20.7</v>
      </c>
      <c r="J113" s="40">
        <v>45</v>
      </c>
      <c r="K113" s="40"/>
      <c r="L113" s="6">
        <v>90</v>
      </c>
      <c r="M113" s="6">
        <v>27</v>
      </c>
      <c r="N113" s="59">
        <f>(L113-M113)*0.7</f>
        <v>44.099999999999994</v>
      </c>
    </row>
    <row r="114" spans="1:14">
      <c r="A114" s="10" t="s">
        <v>293</v>
      </c>
      <c r="B114" s="44"/>
      <c r="C114" s="35">
        <v>45086</v>
      </c>
      <c r="D114" s="35">
        <v>45089</v>
      </c>
      <c r="E114" s="4">
        <v>45103</v>
      </c>
      <c r="F114" s="40"/>
      <c r="G114" s="40"/>
      <c r="H114" s="5">
        <v>11.03</v>
      </c>
      <c r="I114" s="40">
        <f>21/30*14</f>
        <v>9.7999999999999989</v>
      </c>
      <c r="J114" s="40"/>
      <c r="K114" s="40"/>
      <c r="L114" s="6">
        <v>50</v>
      </c>
      <c r="M114" s="6">
        <v>21</v>
      </c>
      <c r="N114" s="59">
        <f>(L114-M114)*0.7</f>
        <v>20.299999999999997</v>
      </c>
    </row>
    <row r="115" spans="1:14">
      <c r="C115" s="36"/>
      <c r="D115" s="36"/>
      <c r="F115" s="28"/>
      <c r="G115" s="28"/>
      <c r="H115" s="30"/>
      <c r="I115" s="28"/>
      <c r="M115" s="61" t="s">
        <v>4</v>
      </c>
      <c r="N115" s="6">
        <f>SUM(N2:N114)</f>
        <v>4318.8100000000022</v>
      </c>
    </row>
    <row r="116" spans="1:14">
      <c r="C116" s="36"/>
      <c r="D116" s="36"/>
      <c r="F116" s="28"/>
      <c r="G116" s="28"/>
      <c r="H116" s="30"/>
      <c r="I116" s="28"/>
      <c r="M116" s="61" t="s">
        <v>251</v>
      </c>
      <c r="N116" s="6">
        <f>N115-172.62+128.8</f>
        <v>4274.9900000000025</v>
      </c>
    </row>
    <row r="117" spans="1:14">
      <c r="C117" s="36"/>
      <c r="D117" s="36"/>
      <c r="F117" s="28"/>
      <c r="G117" s="28"/>
      <c r="H117" s="30"/>
      <c r="I117" s="28"/>
    </row>
    <row r="118" spans="1:14">
      <c r="L118" t="s">
        <v>290</v>
      </c>
      <c r="N118">
        <v>63</v>
      </c>
    </row>
    <row r="119" spans="1:14">
      <c r="A119" s="28"/>
      <c r="B119" s="28"/>
      <c r="E119" s="15"/>
      <c r="F119" s="1"/>
      <c r="G119" s="1"/>
      <c r="H119" s="1"/>
      <c r="I119" s="1"/>
      <c r="J119" s="1"/>
      <c r="K119" s="1"/>
      <c r="L119" s="1" t="s">
        <v>291</v>
      </c>
      <c r="M119" s="67"/>
      <c r="N119" s="29">
        <v>30.8</v>
      </c>
    </row>
    <row r="120" spans="1:14">
      <c r="L120" s="1" t="s">
        <v>294</v>
      </c>
      <c r="N120">
        <f>21+21/30*4</f>
        <v>23.8</v>
      </c>
    </row>
    <row r="121" spans="1:14">
      <c r="H121" s="30"/>
      <c r="L121" s="1" t="s">
        <v>296</v>
      </c>
      <c r="N121">
        <f>33.6/30*10</f>
        <v>11.200000000000001</v>
      </c>
    </row>
    <row r="122" spans="1:14">
      <c r="I122" s="42"/>
      <c r="N122">
        <f>SUM(N118:N121)</f>
        <v>128.79999999999998</v>
      </c>
    </row>
  </sheetData>
  <autoFilter ref="A1:P118">
    <sortState ref="A2:P106">
      <sortCondition ref="B1:B106"/>
    </sortState>
  </autoFilter>
  <pageMargins left="0.7" right="0.7" top="0.75" bottom="0.75" header="0.3" footer="0.3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>
  <dimension ref="A1:P122"/>
  <sheetViews>
    <sheetView topLeftCell="A110" workbookViewId="0">
      <selection activeCell="I116" sqref="I116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3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5"/>
      <c r="J2" s="5"/>
      <c r="K2" s="5">
        <f>F2+H2+J2</f>
        <v>10</v>
      </c>
      <c r="L2" s="6">
        <v>40</v>
      </c>
      <c r="M2" s="61">
        <v>25</v>
      </c>
      <c r="N2" s="6">
        <f t="shared" ref="N2:N34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5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5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9" t="s">
        <v>18</v>
      </c>
      <c r="B5" s="9"/>
      <c r="C5" s="2"/>
      <c r="D5" s="2"/>
      <c r="E5" s="4">
        <v>42335</v>
      </c>
      <c r="F5" s="5"/>
      <c r="G5" s="49"/>
      <c r="H5" s="5"/>
      <c r="I5" s="5"/>
      <c r="J5" s="5"/>
      <c r="K5" s="5"/>
      <c r="L5" s="6">
        <v>90</v>
      </c>
      <c r="M5" s="61">
        <v>25</v>
      </c>
      <c r="N5" s="6">
        <f t="shared" si="0"/>
        <v>45.5</v>
      </c>
    </row>
    <row r="6" spans="1:15">
      <c r="A6" s="2" t="s">
        <v>16</v>
      </c>
      <c r="B6" s="2"/>
      <c r="C6" s="2"/>
      <c r="D6" s="2"/>
      <c r="E6" s="4">
        <v>42396</v>
      </c>
      <c r="F6" s="5"/>
      <c r="G6" s="49"/>
      <c r="H6" s="5"/>
      <c r="I6" s="5"/>
      <c r="J6" s="5"/>
      <c r="K6" s="5"/>
      <c r="L6" s="6">
        <v>50</v>
      </c>
      <c r="M6" s="61">
        <v>22</v>
      </c>
      <c r="N6" s="6">
        <f t="shared" si="0"/>
        <v>19.599999999999998</v>
      </c>
    </row>
    <row r="7" spans="1:15">
      <c r="A7" s="2" t="s">
        <v>22</v>
      </c>
      <c r="B7" s="2"/>
      <c r="C7" s="4">
        <v>42546</v>
      </c>
      <c r="D7" s="4"/>
      <c r="E7" s="4">
        <v>42571</v>
      </c>
      <c r="F7" s="5"/>
      <c r="G7" s="49"/>
      <c r="H7" s="5">
        <f>6.9+8.5</f>
        <v>15.4</v>
      </c>
      <c r="I7" s="5">
        <f>25*25/30</f>
        <v>20.833333333333332</v>
      </c>
      <c r="J7" s="5"/>
      <c r="K7" s="5"/>
      <c r="L7" s="6">
        <v>120</v>
      </c>
      <c r="M7" s="61">
        <v>25</v>
      </c>
      <c r="N7" s="6">
        <f t="shared" si="0"/>
        <v>66.5</v>
      </c>
    </row>
    <row r="8" spans="1:15">
      <c r="A8" s="2" t="s">
        <v>23</v>
      </c>
      <c r="B8" s="2"/>
      <c r="C8" s="4">
        <v>42560</v>
      </c>
      <c r="D8" s="4"/>
      <c r="E8" s="4">
        <v>42571</v>
      </c>
      <c r="F8" s="5"/>
      <c r="G8" s="49"/>
      <c r="H8" s="5">
        <v>8.5</v>
      </c>
      <c r="I8" s="5">
        <f>25*41/30</f>
        <v>34.166666666666664</v>
      </c>
      <c r="J8" s="5"/>
      <c r="K8" s="5"/>
      <c r="L8" s="6">
        <v>107.5</v>
      </c>
      <c r="M8" s="61">
        <v>25</v>
      </c>
      <c r="N8" s="6">
        <f t="shared" si="0"/>
        <v>57.749999999999993</v>
      </c>
    </row>
    <row r="9" spans="1:15">
      <c r="A9" s="2" t="s">
        <v>24</v>
      </c>
      <c r="B9" s="2"/>
      <c r="C9" s="4">
        <v>42530</v>
      </c>
      <c r="D9" s="4"/>
      <c r="E9" s="4">
        <v>42579</v>
      </c>
      <c r="F9" s="5"/>
      <c r="G9" s="49"/>
      <c r="H9" s="5">
        <f>8.5+6.9</f>
        <v>15.4</v>
      </c>
      <c r="I9" s="5">
        <f>25*52/30</f>
        <v>43.333333333333336</v>
      </c>
      <c r="J9" s="5"/>
      <c r="K9" s="5"/>
      <c r="L9" s="6">
        <v>90</v>
      </c>
      <c r="M9" s="61">
        <v>25</v>
      </c>
      <c r="N9" s="6">
        <f t="shared" si="0"/>
        <v>45.5</v>
      </c>
    </row>
    <row r="10" spans="1:15">
      <c r="A10" s="2" t="s">
        <v>26</v>
      </c>
      <c r="B10" s="2"/>
      <c r="C10" s="4">
        <v>42633</v>
      </c>
      <c r="D10" s="4"/>
      <c r="E10" s="4">
        <v>42644</v>
      </c>
      <c r="F10" s="5"/>
      <c r="G10" s="49"/>
      <c r="H10" s="5">
        <v>8.17</v>
      </c>
      <c r="I10" s="5">
        <f>25/30*10</f>
        <v>8.3333333333333339</v>
      </c>
      <c r="J10" s="5"/>
      <c r="K10" s="5"/>
      <c r="L10" s="6">
        <v>70</v>
      </c>
      <c r="M10" s="61">
        <v>25</v>
      </c>
      <c r="N10" s="6">
        <f t="shared" si="0"/>
        <v>31.499999999999996</v>
      </c>
    </row>
    <row r="11" spans="1:15">
      <c r="A11" s="2" t="s">
        <v>27</v>
      </c>
      <c r="B11" s="2"/>
      <c r="C11" s="4">
        <v>42656</v>
      </c>
      <c r="D11" s="4"/>
      <c r="E11" s="4">
        <v>42705</v>
      </c>
      <c r="F11" s="5"/>
      <c r="G11" s="49"/>
      <c r="H11" s="5">
        <v>8.17</v>
      </c>
      <c r="I11" s="5">
        <f>M11/30*47</f>
        <v>39.166666666666671</v>
      </c>
      <c r="J11" s="5"/>
      <c r="K11" s="5"/>
      <c r="L11" s="6">
        <v>40</v>
      </c>
      <c r="M11" s="62">
        <v>25</v>
      </c>
      <c r="N11" s="18">
        <f t="shared" si="0"/>
        <v>10.5</v>
      </c>
    </row>
    <row r="12" spans="1:15">
      <c r="A12" s="2" t="s">
        <v>29</v>
      </c>
      <c r="B12" s="2"/>
      <c r="C12" s="4">
        <v>42683</v>
      </c>
      <c r="D12" s="4"/>
      <c r="E12" s="4">
        <v>42718</v>
      </c>
      <c r="F12" s="5"/>
      <c r="G12" s="49"/>
      <c r="H12" s="5">
        <v>8.9700000000000006</v>
      </c>
      <c r="I12" s="5">
        <f>M12/30*35</f>
        <v>42</v>
      </c>
      <c r="J12" s="5"/>
      <c r="K12" s="5"/>
      <c r="L12" s="6">
        <f>105</f>
        <v>105</v>
      </c>
      <c r="M12" s="62">
        <v>36</v>
      </c>
      <c r="N12" s="18">
        <f t="shared" si="0"/>
        <v>48.3</v>
      </c>
    </row>
    <row r="13" spans="1:15">
      <c r="A13" s="2" t="s">
        <v>28</v>
      </c>
      <c r="B13" s="2"/>
      <c r="C13" s="4">
        <v>42711</v>
      </c>
      <c r="D13" s="4"/>
      <c r="E13" s="4">
        <v>42734</v>
      </c>
      <c r="F13" s="5"/>
      <c r="G13" s="49"/>
      <c r="H13" s="5">
        <v>8.17</v>
      </c>
      <c r="I13" s="5">
        <f>M13/30*23</f>
        <v>19.166666666666668</v>
      </c>
      <c r="J13" s="5"/>
      <c r="K13" s="5"/>
      <c r="L13" s="6">
        <v>40</v>
      </c>
      <c r="M13" s="62">
        <v>25</v>
      </c>
      <c r="N13" s="18">
        <f t="shared" si="0"/>
        <v>10.5</v>
      </c>
    </row>
    <row r="14" spans="1:15">
      <c r="A14" s="2" t="s">
        <v>30</v>
      </c>
      <c r="B14" s="2"/>
      <c r="C14" s="4">
        <v>42732</v>
      </c>
      <c r="D14" s="4"/>
      <c r="E14" s="4">
        <v>42759</v>
      </c>
      <c r="F14" s="5"/>
      <c r="G14" s="49"/>
      <c r="H14" s="5">
        <v>18.8</v>
      </c>
      <c r="I14" s="5">
        <f>M14/30*27</f>
        <v>23.400000000000002</v>
      </c>
      <c r="J14" s="5"/>
      <c r="K14" s="5"/>
      <c r="L14" s="6">
        <v>90</v>
      </c>
      <c r="M14" s="62">
        <v>26</v>
      </c>
      <c r="N14" s="18">
        <f t="shared" si="0"/>
        <v>44.8</v>
      </c>
    </row>
    <row r="15" spans="1:15">
      <c r="A15" s="2" t="s">
        <v>31</v>
      </c>
      <c r="B15" s="2"/>
      <c r="C15" s="4">
        <v>42735</v>
      </c>
      <c r="D15" s="4"/>
      <c r="E15" s="4">
        <v>42782</v>
      </c>
      <c r="F15" s="5">
        <v>50</v>
      </c>
      <c r="G15" s="49"/>
      <c r="H15" s="5">
        <v>20.63</v>
      </c>
      <c r="I15" s="5">
        <f>M15/30*46</f>
        <v>42.933333333333337</v>
      </c>
      <c r="J15" s="5"/>
      <c r="K15" s="5"/>
      <c r="L15" s="6">
        <v>92</v>
      </c>
      <c r="M15" s="61">
        <v>28</v>
      </c>
      <c r="N15" s="6">
        <f t="shared" si="0"/>
        <v>44.8</v>
      </c>
    </row>
    <row r="16" spans="1:15">
      <c r="A16" s="2" t="s">
        <v>32</v>
      </c>
      <c r="B16" s="2"/>
      <c r="C16" s="4">
        <v>42857</v>
      </c>
      <c r="D16" s="4"/>
      <c r="E16" s="4">
        <v>42866</v>
      </c>
      <c r="F16" s="5"/>
      <c r="G16" s="49"/>
      <c r="H16" s="5"/>
      <c r="I16" s="5">
        <f>23/30*9</f>
        <v>6.9</v>
      </c>
      <c r="J16" s="5">
        <f>60*0.7</f>
        <v>42</v>
      </c>
      <c r="K16" s="5"/>
      <c r="L16" s="6">
        <v>60</v>
      </c>
      <c r="M16" s="61">
        <v>23</v>
      </c>
      <c r="N16" s="6">
        <f t="shared" si="0"/>
        <v>25.9</v>
      </c>
    </row>
    <row r="17" spans="1:15">
      <c r="A17" s="2" t="s">
        <v>37</v>
      </c>
      <c r="B17" s="2"/>
      <c r="C17" s="4">
        <v>42891</v>
      </c>
      <c r="D17" s="4"/>
      <c r="E17" s="4">
        <v>42915</v>
      </c>
      <c r="F17" s="5"/>
      <c r="G17" s="49"/>
      <c r="H17" s="5">
        <v>6.83</v>
      </c>
      <c r="I17" s="5">
        <f>24/30*24</f>
        <v>19.200000000000003</v>
      </c>
      <c r="J17" s="5"/>
      <c r="K17" s="5"/>
      <c r="L17" s="6">
        <v>70</v>
      </c>
      <c r="M17" s="61">
        <v>24</v>
      </c>
      <c r="N17" s="6">
        <f t="shared" si="0"/>
        <v>32.199999999999996</v>
      </c>
    </row>
    <row r="18" spans="1:15">
      <c r="A18" s="2" t="s">
        <v>39</v>
      </c>
      <c r="B18" s="2"/>
      <c r="C18" s="4">
        <v>43081</v>
      </c>
      <c r="D18" s="4"/>
      <c r="E18" s="4">
        <v>43109</v>
      </c>
      <c r="F18" s="5"/>
      <c r="G18" s="49"/>
      <c r="H18" s="5">
        <v>9.83</v>
      </c>
      <c r="I18" s="5">
        <f>36/30*28</f>
        <v>33.6</v>
      </c>
      <c r="J18" s="5"/>
      <c r="K18" s="5"/>
      <c r="L18" s="6">
        <v>120</v>
      </c>
      <c r="M18" s="61">
        <v>36</v>
      </c>
      <c r="N18" s="6">
        <f t="shared" si="0"/>
        <v>58.8</v>
      </c>
    </row>
    <row r="19" spans="1:15">
      <c r="A19" s="22" t="s">
        <v>56</v>
      </c>
      <c r="B19" s="22"/>
      <c r="C19" s="4">
        <v>43361</v>
      </c>
      <c r="D19" s="4"/>
      <c r="E19" s="4">
        <v>43132</v>
      </c>
      <c r="F19" s="5"/>
      <c r="G19" s="49"/>
      <c r="H19" s="5">
        <v>14.11</v>
      </c>
      <c r="I19" s="5">
        <f>25*4+25/30*12</f>
        <v>110</v>
      </c>
      <c r="J19" s="5"/>
      <c r="K19" s="5"/>
      <c r="L19" s="6">
        <v>75</v>
      </c>
      <c r="M19" s="61">
        <v>25</v>
      </c>
      <c r="N19" s="6">
        <f t="shared" si="0"/>
        <v>35</v>
      </c>
    </row>
    <row r="20" spans="1:15">
      <c r="A20" s="2" t="s">
        <v>40</v>
      </c>
      <c r="B20" s="2"/>
      <c r="C20" s="4">
        <v>43106</v>
      </c>
      <c r="D20" s="4"/>
      <c r="E20" s="4">
        <v>43146</v>
      </c>
      <c r="F20" s="5"/>
      <c r="G20" s="49"/>
      <c r="H20" s="5">
        <v>8.2899999999999991</v>
      </c>
      <c r="I20" s="5">
        <f>25/30*39</f>
        <v>32.5</v>
      </c>
      <c r="J20" s="5"/>
      <c r="K20" s="5"/>
      <c r="L20" s="6">
        <v>70</v>
      </c>
      <c r="M20" s="61">
        <v>26</v>
      </c>
      <c r="N20" s="6">
        <f t="shared" si="0"/>
        <v>30.799999999999997</v>
      </c>
    </row>
    <row r="21" spans="1:15">
      <c r="A21" s="2" t="s">
        <v>44</v>
      </c>
      <c r="B21" s="2"/>
      <c r="C21" s="4">
        <v>43196</v>
      </c>
      <c r="D21" s="4"/>
      <c r="E21" s="4">
        <v>43250</v>
      </c>
      <c r="F21" s="5"/>
      <c r="G21" s="49"/>
      <c r="H21" s="5">
        <v>13.78</v>
      </c>
      <c r="I21" s="5">
        <f>25*24/30+25</f>
        <v>45</v>
      </c>
      <c r="J21" s="5"/>
      <c r="K21" s="5"/>
      <c r="L21" s="6">
        <v>11</v>
      </c>
      <c r="M21" s="61">
        <v>25</v>
      </c>
      <c r="N21" s="6">
        <v>9.7999999999999989</v>
      </c>
    </row>
    <row r="22" spans="1:15">
      <c r="A22" s="22" t="s">
        <v>47</v>
      </c>
      <c r="B22" s="22"/>
      <c r="C22" s="4">
        <v>43355</v>
      </c>
      <c r="D22" s="4"/>
      <c r="E22" s="4">
        <v>43277</v>
      </c>
      <c r="F22" s="5"/>
      <c r="G22" s="49"/>
      <c r="H22" s="5">
        <v>19.98</v>
      </c>
      <c r="I22" s="5">
        <f>36*2+36/30*16</f>
        <v>91.2</v>
      </c>
      <c r="J22" s="5"/>
      <c r="K22" s="5"/>
      <c r="L22" s="6">
        <v>105</v>
      </c>
      <c r="M22" s="61">
        <v>36</v>
      </c>
      <c r="N22" s="6">
        <f t="shared" si="0"/>
        <v>48.3</v>
      </c>
    </row>
    <row r="23" spans="1:15">
      <c r="A23" s="22" t="s">
        <v>48</v>
      </c>
      <c r="B23" s="22"/>
      <c r="C23" s="4">
        <v>43367</v>
      </c>
      <c r="D23" s="4"/>
      <c r="E23" s="4">
        <v>43284</v>
      </c>
      <c r="F23" s="5"/>
      <c r="G23" s="49"/>
      <c r="H23" s="5">
        <v>9.1</v>
      </c>
      <c r="I23" s="5">
        <f>25+25/30*27</f>
        <v>47.5</v>
      </c>
      <c r="J23" s="5"/>
      <c r="K23" s="5"/>
      <c r="L23" s="6">
        <v>75</v>
      </c>
      <c r="M23" s="61">
        <v>25</v>
      </c>
      <c r="N23" s="6">
        <f t="shared" si="0"/>
        <v>35</v>
      </c>
    </row>
    <row r="24" spans="1:15">
      <c r="A24" s="2" t="s">
        <v>45</v>
      </c>
      <c r="B24" s="2"/>
      <c r="C24" s="4"/>
      <c r="D24" s="4"/>
      <c r="E24" s="4">
        <v>43286</v>
      </c>
      <c r="F24" s="5"/>
      <c r="G24" s="49"/>
      <c r="H24" s="5">
        <v>11.56</v>
      </c>
      <c r="I24" s="5"/>
      <c r="J24" s="5"/>
      <c r="K24" s="5"/>
      <c r="L24" s="6">
        <v>150</v>
      </c>
      <c r="M24" s="61">
        <v>76</v>
      </c>
      <c r="N24" s="6">
        <f t="shared" si="0"/>
        <v>51.8</v>
      </c>
      <c r="O24" s="20"/>
    </row>
    <row r="25" spans="1:15">
      <c r="A25" s="22" t="s">
        <v>49</v>
      </c>
      <c r="B25" s="22"/>
      <c r="C25" s="4">
        <v>43367</v>
      </c>
      <c r="D25" s="4"/>
      <c r="E25" s="4">
        <v>43291</v>
      </c>
      <c r="F25" s="5"/>
      <c r="G25" s="49"/>
      <c r="H25" s="5">
        <v>10.039999999999999</v>
      </c>
      <c r="I25" s="5">
        <f>50+25/30*14</f>
        <v>61.666666666666671</v>
      </c>
      <c r="J25" s="5"/>
      <c r="K25" s="5"/>
      <c r="L25" s="6">
        <v>50</v>
      </c>
      <c r="M25" s="61">
        <v>22</v>
      </c>
      <c r="N25" s="18">
        <f t="shared" si="0"/>
        <v>19.599999999999998</v>
      </c>
    </row>
    <row r="26" spans="1:15">
      <c r="A26" s="22" t="s">
        <v>51</v>
      </c>
      <c r="B26" s="22"/>
      <c r="C26" s="4">
        <v>43358</v>
      </c>
      <c r="D26" s="4"/>
      <c r="E26" s="4">
        <v>43291</v>
      </c>
      <c r="F26" s="5"/>
      <c r="G26" s="49"/>
      <c r="H26" s="5">
        <v>10.039999999999999</v>
      </c>
      <c r="I26" s="5">
        <f>50+25/30*5</f>
        <v>54.166666666666664</v>
      </c>
      <c r="J26" s="5"/>
      <c r="K26" s="5"/>
      <c r="L26" s="6">
        <v>75</v>
      </c>
      <c r="M26" s="61">
        <v>25</v>
      </c>
      <c r="N26" s="6">
        <f t="shared" si="0"/>
        <v>35</v>
      </c>
    </row>
    <row r="27" spans="1:15">
      <c r="A27" s="22" t="s">
        <v>52</v>
      </c>
      <c r="B27" s="22"/>
      <c r="C27" s="4">
        <v>43367</v>
      </c>
      <c r="D27" s="4"/>
      <c r="E27" s="4">
        <v>43308</v>
      </c>
      <c r="F27" s="5"/>
      <c r="G27" s="49"/>
      <c r="H27" s="5">
        <v>10.86</v>
      </c>
      <c r="I27" s="5">
        <f>25+25/30*27</f>
        <v>47.5</v>
      </c>
      <c r="J27" s="5"/>
      <c r="K27" s="5"/>
      <c r="L27" s="6">
        <v>75</v>
      </c>
      <c r="M27" s="61">
        <v>25</v>
      </c>
      <c r="N27" s="27">
        <f t="shared" si="0"/>
        <v>35</v>
      </c>
    </row>
    <row r="28" spans="1:15">
      <c r="A28" s="22" t="s">
        <v>50</v>
      </c>
      <c r="B28" s="22"/>
      <c r="C28" s="4">
        <v>43367</v>
      </c>
      <c r="D28" s="4"/>
      <c r="E28" s="4">
        <v>43312</v>
      </c>
      <c r="F28" s="5"/>
      <c r="G28" s="49"/>
      <c r="H28" s="5">
        <v>10.86</v>
      </c>
      <c r="I28" s="5">
        <f>25+25/30*24</f>
        <v>45</v>
      </c>
      <c r="J28" s="5"/>
      <c r="K28" s="5"/>
      <c r="L28" s="6">
        <v>70</v>
      </c>
      <c r="M28" s="61">
        <v>25</v>
      </c>
      <c r="N28" s="6">
        <f t="shared" si="0"/>
        <v>31.499999999999996</v>
      </c>
    </row>
    <row r="29" spans="1:15">
      <c r="A29" s="22" t="s">
        <v>55</v>
      </c>
      <c r="B29" s="22"/>
      <c r="C29" s="4">
        <v>43363</v>
      </c>
      <c r="D29" s="4"/>
      <c r="E29" s="4">
        <v>43440</v>
      </c>
      <c r="F29" s="5"/>
      <c r="G29" s="49"/>
      <c r="H29" s="5">
        <v>14.11</v>
      </c>
      <c r="I29" s="5">
        <f>25*2+25*16/30</f>
        <v>63.333333333333336</v>
      </c>
      <c r="J29" s="5"/>
      <c r="K29" s="5"/>
      <c r="L29" s="6">
        <v>75</v>
      </c>
      <c r="M29" s="61">
        <v>25</v>
      </c>
      <c r="N29" s="6">
        <f t="shared" si="0"/>
        <v>35</v>
      </c>
    </row>
    <row r="30" spans="1:15">
      <c r="A30" s="22" t="s">
        <v>54</v>
      </c>
      <c r="B30" s="22"/>
      <c r="C30" s="4">
        <v>43167</v>
      </c>
      <c r="D30" s="4"/>
      <c r="E30" s="4">
        <v>43455</v>
      </c>
      <c r="F30" s="5"/>
      <c r="G30" s="49"/>
      <c r="H30" s="5">
        <v>10.86</v>
      </c>
      <c r="I30" s="5">
        <f>9*25+25*13/30</f>
        <v>235.83333333333334</v>
      </c>
      <c r="J30" s="5"/>
      <c r="K30" s="5"/>
      <c r="L30" s="6">
        <v>90</v>
      </c>
      <c r="M30" s="61">
        <v>36</v>
      </c>
      <c r="N30" s="6">
        <f t="shared" si="0"/>
        <v>37.799999999999997</v>
      </c>
    </row>
    <row r="31" spans="1:15">
      <c r="A31" s="22" t="s">
        <v>57</v>
      </c>
      <c r="B31" s="55"/>
      <c r="C31" s="31">
        <v>43478</v>
      </c>
      <c r="D31" s="31"/>
      <c r="E31" s="4">
        <v>43536</v>
      </c>
      <c r="F31" s="5"/>
      <c r="G31" s="49"/>
      <c r="H31" s="5">
        <v>10.86</v>
      </c>
      <c r="I31" s="5">
        <v>25</v>
      </c>
      <c r="J31" s="5"/>
      <c r="K31" s="5"/>
      <c r="L31" s="6">
        <v>70</v>
      </c>
      <c r="M31" s="61">
        <v>25</v>
      </c>
      <c r="N31" s="6">
        <f t="shared" si="0"/>
        <v>31.499999999999996</v>
      </c>
    </row>
    <row r="32" spans="1:15">
      <c r="A32" s="22" t="s">
        <v>59</v>
      </c>
      <c r="B32" s="22"/>
      <c r="C32" s="4">
        <v>43528</v>
      </c>
      <c r="D32" s="4"/>
      <c r="E32" s="4">
        <v>43538</v>
      </c>
      <c r="F32" s="5"/>
      <c r="G32" s="49"/>
      <c r="H32" s="5">
        <v>14.92</v>
      </c>
      <c r="I32" s="5">
        <f>77/30*10</f>
        <v>25.666666666666668</v>
      </c>
      <c r="J32" s="5"/>
      <c r="K32" s="5"/>
      <c r="L32" s="6">
        <v>169</v>
      </c>
      <c r="M32" s="61">
        <f>64+11+2</f>
        <v>77</v>
      </c>
      <c r="N32" s="6">
        <f t="shared" si="0"/>
        <v>64.399999999999991</v>
      </c>
    </row>
    <row r="33" spans="1:15">
      <c r="A33" s="22" t="s">
        <v>58</v>
      </c>
      <c r="B33" s="22"/>
      <c r="C33" s="4">
        <v>43534</v>
      </c>
      <c r="D33" s="4"/>
      <c r="E33" s="4">
        <v>43542</v>
      </c>
      <c r="F33" s="5"/>
      <c r="G33" s="49"/>
      <c r="H33" s="5">
        <f>10.86*2</f>
        <v>21.72</v>
      </c>
      <c r="I33" s="5">
        <v>0</v>
      </c>
      <c r="J33" s="5"/>
      <c r="K33" s="5"/>
      <c r="L33" s="6">
        <v>60</v>
      </c>
      <c r="M33" s="61">
        <v>33</v>
      </c>
      <c r="N33" s="6">
        <v>18.899999999999999</v>
      </c>
    </row>
    <row r="34" spans="1:15">
      <c r="A34" s="22" t="s">
        <v>61</v>
      </c>
      <c r="B34" s="22"/>
      <c r="C34" s="4">
        <v>43482</v>
      </c>
      <c r="D34" s="4"/>
      <c r="E34" s="4">
        <v>43542</v>
      </c>
      <c r="F34" s="5"/>
      <c r="G34" s="49"/>
      <c r="H34" s="5">
        <v>11.1</v>
      </c>
      <c r="I34" s="5">
        <f>25*2</f>
        <v>50</v>
      </c>
      <c r="J34" s="5"/>
      <c r="K34" s="5"/>
      <c r="L34" s="6">
        <v>70</v>
      </c>
      <c r="M34" s="61">
        <v>26</v>
      </c>
      <c r="N34" s="6">
        <f t="shared" si="0"/>
        <v>30.799999999999997</v>
      </c>
    </row>
    <row r="35" spans="1:15">
      <c r="A35" s="22" t="s">
        <v>67</v>
      </c>
      <c r="B35" s="22"/>
      <c r="C35" s="4">
        <v>43600</v>
      </c>
      <c r="D35" s="4"/>
      <c r="E35" s="4">
        <v>43629</v>
      </c>
      <c r="F35" s="5"/>
      <c r="G35" s="49"/>
      <c r="H35" s="5">
        <f>10.86*2</f>
        <v>21.72</v>
      </c>
      <c r="I35" s="5">
        <f>22/30*58</f>
        <v>42.533333333333331</v>
      </c>
      <c r="J35" s="5">
        <v>50</v>
      </c>
      <c r="K35" s="5">
        <f>H35+I35+J35</f>
        <v>114.25333333333333</v>
      </c>
      <c r="L35" s="6">
        <v>60</v>
      </c>
      <c r="M35" s="61">
        <v>25</v>
      </c>
      <c r="N35" s="6">
        <v>0</v>
      </c>
    </row>
    <row r="36" spans="1:15">
      <c r="A36" s="22" t="s">
        <v>66</v>
      </c>
      <c r="B36" s="22"/>
      <c r="C36" s="4">
        <v>43600</v>
      </c>
      <c r="D36" s="4"/>
      <c r="E36" s="4">
        <v>43629</v>
      </c>
      <c r="F36" s="5"/>
      <c r="G36" s="49"/>
      <c r="H36" s="5">
        <f>10.86</f>
        <v>10.86</v>
      </c>
      <c r="I36" s="5">
        <f>39/30*58</f>
        <v>75.400000000000006</v>
      </c>
      <c r="J36" s="5"/>
      <c r="K36" s="5">
        <f>H36+I36</f>
        <v>86.26</v>
      </c>
      <c r="L36" s="6">
        <v>110</v>
      </c>
      <c r="M36" s="61">
        <f>25+11+3</f>
        <v>39</v>
      </c>
      <c r="N36" s="6">
        <v>0</v>
      </c>
      <c r="O36" t="s">
        <v>73</v>
      </c>
    </row>
    <row r="37" spans="1:15">
      <c r="A37" s="22" t="s">
        <v>64</v>
      </c>
      <c r="B37" s="22"/>
      <c r="C37" s="4">
        <v>43627</v>
      </c>
      <c r="D37" s="4"/>
      <c r="E37" s="4">
        <v>43629</v>
      </c>
      <c r="F37" s="5"/>
      <c r="G37" s="49"/>
      <c r="H37" s="5">
        <v>10.86</v>
      </c>
      <c r="I37" s="5">
        <f>25/30*2</f>
        <v>1.6666666666666667</v>
      </c>
      <c r="J37" s="5"/>
      <c r="K37" s="5">
        <f>H37+I37</f>
        <v>12.526666666666666</v>
      </c>
      <c r="L37" s="6">
        <v>200</v>
      </c>
      <c r="M37" s="61">
        <v>11</v>
      </c>
      <c r="N37" s="5">
        <f t="shared" ref="N37:N50" si="1">(L37-M37)*0.7</f>
        <v>132.29999999999998</v>
      </c>
    </row>
    <row r="38" spans="1:15">
      <c r="A38" s="22" t="s">
        <v>65</v>
      </c>
      <c r="B38" s="22"/>
      <c r="C38" s="4">
        <v>43622</v>
      </c>
      <c r="D38" s="4"/>
      <c r="E38" s="4">
        <v>43650</v>
      </c>
      <c r="F38" s="5"/>
      <c r="G38" s="49"/>
      <c r="H38" s="5">
        <v>10.86</v>
      </c>
      <c r="I38" s="5"/>
      <c r="J38" s="5"/>
      <c r="K38" s="5"/>
      <c r="L38" s="6">
        <v>120</v>
      </c>
      <c r="M38" s="61">
        <v>60</v>
      </c>
      <c r="N38" s="6">
        <f t="shared" si="1"/>
        <v>42</v>
      </c>
    </row>
    <row r="39" spans="1:15">
      <c r="A39" s="22" t="s">
        <v>71</v>
      </c>
      <c r="B39" s="22"/>
      <c r="C39" s="4">
        <v>43635</v>
      </c>
      <c r="D39" s="4"/>
      <c r="E39" s="4">
        <v>43662</v>
      </c>
      <c r="F39" s="5"/>
      <c r="G39" s="49"/>
      <c r="H39" s="5">
        <f>10.86*2</f>
        <v>21.72</v>
      </c>
      <c r="I39" s="5"/>
      <c r="J39" s="5"/>
      <c r="K39" s="5"/>
      <c r="L39" s="6">
        <v>70</v>
      </c>
      <c r="M39" s="61">
        <v>26</v>
      </c>
      <c r="N39" s="6">
        <f t="shared" si="1"/>
        <v>30.799999999999997</v>
      </c>
      <c r="O39" t="s">
        <v>72</v>
      </c>
    </row>
    <row r="40" spans="1:15">
      <c r="A40" s="2" t="s">
        <v>75</v>
      </c>
      <c r="B40" s="2"/>
      <c r="C40" s="4">
        <v>43656</v>
      </c>
      <c r="D40" s="4"/>
      <c r="E40" s="4">
        <v>43711</v>
      </c>
      <c r="F40" s="5"/>
      <c r="G40" s="49"/>
      <c r="H40" s="5">
        <v>10.86</v>
      </c>
      <c r="I40" s="5">
        <f>36/30*48</f>
        <v>57.599999999999994</v>
      </c>
      <c r="J40" s="5"/>
      <c r="K40" s="5"/>
      <c r="L40" s="6">
        <v>105</v>
      </c>
      <c r="M40" s="61">
        <v>36</v>
      </c>
      <c r="N40" s="6">
        <f t="shared" si="1"/>
        <v>48.3</v>
      </c>
    </row>
    <row r="41" spans="1:15">
      <c r="A41" s="2" t="s">
        <v>76</v>
      </c>
      <c r="B41" s="2"/>
      <c r="C41" s="4">
        <v>43677</v>
      </c>
      <c r="D41" s="4"/>
      <c r="E41" s="4">
        <v>43713</v>
      </c>
      <c r="F41" s="5"/>
      <c r="G41" s="49"/>
      <c r="H41" s="5">
        <v>24.06</v>
      </c>
      <c r="I41" s="5">
        <f>80/30*35</f>
        <v>93.333333333333329</v>
      </c>
      <c r="J41" s="5">
        <v>40</v>
      </c>
      <c r="K41" s="5"/>
      <c r="L41" s="6">
        <v>149</v>
      </c>
      <c r="M41" s="61">
        <v>80</v>
      </c>
      <c r="N41" s="6">
        <f t="shared" si="1"/>
        <v>48.3</v>
      </c>
      <c r="O41" t="s">
        <v>79</v>
      </c>
    </row>
    <row r="42" spans="1:15">
      <c r="A42" s="2" t="s">
        <v>81</v>
      </c>
      <c r="B42" s="2"/>
      <c r="C42" s="4">
        <v>43788</v>
      </c>
      <c r="D42" s="4"/>
      <c r="E42" s="4">
        <v>43865</v>
      </c>
      <c r="F42" s="5"/>
      <c r="G42" s="49"/>
      <c r="H42" s="5">
        <v>9.14</v>
      </c>
      <c r="I42" s="5">
        <f>25/30*45</f>
        <v>37.5</v>
      </c>
      <c r="J42" s="5"/>
      <c r="K42" s="5"/>
      <c r="L42" s="6">
        <v>90</v>
      </c>
      <c r="M42" s="61">
        <v>25</v>
      </c>
      <c r="N42" s="6">
        <f t="shared" si="1"/>
        <v>45.5</v>
      </c>
    </row>
    <row r="43" spans="1:15">
      <c r="A43" s="22" t="s">
        <v>87</v>
      </c>
      <c r="B43" s="22"/>
      <c r="C43" s="35">
        <v>43878</v>
      </c>
      <c r="D43" s="35"/>
      <c r="E43" s="35">
        <v>43892</v>
      </c>
      <c r="F43" s="5"/>
      <c r="G43" s="49"/>
      <c r="H43" s="5">
        <v>12.19</v>
      </c>
      <c r="I43" s="5"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5">
      <c r="A44" s="22" t="s">
        <v>89</v>
      </c>
      <c r="B44" s="22"/>
      <c r="C44" s="35">
        <v>43908</v>
      </c>
      <c r="D44" s="35"/>
      <c r="E44" s="35">
        <v>43893</v>
      </c>
      <c r="F44" s="5"/>
      <c r="G44" s="49"/>
      <c r="H44" s="5">
        <v>9.6</v>
      </c>
      <c r="I44" s="5">
        <v>5.5</v>
      </c>
      <c r="J44" s="5"/>
      <c r="K44" s="5"/>
      <c r="L44" s="6">
        <v>25</v>
      </c>
      <c r="M44" s="61">
        <v>11</v>
      </c>
      <c r="N44" s="6">
        <f t="shared" si="1"/>
        <v>9.7999999999999989</v>
      </c>
    </row>
    <row r="45" spans="1:15">
      <c r="A45" s="22" t="s">
        <v>85</v>
      </c>
      <c r="B45" s="22"/>
      <c r="C45" s="35">
        <v>43881</v>
      </c>
      <c r="D45" s="35"/>
      <c r="E45" s="35">
        <v>43895</v>
      </c>
      <c r="F45" s="5"/>
      <c r="G45" s="49"/>
      <c r="H45" s="5">
        <v>9.14</v>
      </c>
      <c r="I45" s="5">
        <f>11/30*15</f>
        <v>5.5</v>
      </c>
      <c r="J45" s="5"/>
      <c r="K45" s="5"/>
      <c r="L45" s="6">
        <v>25</v>
      </c>
      <c r="M45" s="61">
        <v>11</v>
      </c>
      <c r="N45" s="6">
        <f t="shared" si="1"/>
        <v>9.7999999999999989</v>
      </c>
    </row>
    <row r="46" spans="1:15">
      <c r="A46" s="39" t="s">
        <v>82</v>
      </c>
      <c r="B46" s="28"/>
      <c r="C46" s="36">
        <v>40235</v>
      </c>
      <c r="D46" s="36"/>
      <c r="E46" s="36">
        <v>43901</v>
      </c>
      <c r="F46" s="5"/>
      <c r="G46" s="34"/>
      <c r="H46" s="37">
        <v>9.6</v>
      </c>
      <c r="I46" s="5">
        <f>11/2</f>
        <v>5.5</v>
      </c>
      <c r="J46" s="5"/>
      <c r="K46" s="5"/>
      <c r="L46" s="17">
        <v>25</v>
      </c>
      <c r="M46" s="63">
        <v>11</v>
      </c>
      <c r="N46" s="26">
        <f t="shared" si="1"/>
        <v>9.7999999999999989</v>
      </c>
    </row>
    <row r="47" spans="1:15">
      <c r="A47" s="22" t="s">
        <v>84</v>
      </c>
      <c r="B47" s="22"/>
      <c r="C47" s="35">
        <v>43889</v>
      </c>
      <c r="D47" s="35"/>
      <c r="E47" s="35">
        <v>43903</v>
      </c>
      <c r="F47" s="5"/>
      <c r="G47" s="49"/>
      <c r="H47" s="5">
        <v>9.14</v>
      </c>
      <c r="I47" s="5">
        <f>11/30*15</f>
        <v>5.5</v>
      </c>
      <c r="J47" s="5"/>
      <c r="K47" s="5"/>
      <c r="L47" s="6">
        <v>25</v>
      </c>
      <c r="M47" s="61">
        <v>11</v>
      </c>
      <c r="N47" s="6">
        <f t="shared" si="1"/>
        <v>9.7999999999999989</v>
      </c>
    </row>
    <row r="48" spans="1:15">
      <c r="A48" s="22" t="s">
        <v>80</v>
      </c>
      <c r="B48" s="22"/>
      <c r="C48" s="35">
        <v>43873</v>
      </c>
      <c r="D48" s="35"/>
      <c r="E48" s="35">
        <v>43910</v>
      </c>
      <c r="F48" s="5"/>
      <c r="G48" s="49"/>
      <c r="H48" s="5">
        <v>21.84</v>
      </c>
      <c r="I48" s="5">
        <f>56/30*38</f>
        <v>70.933333333333337</v>
      </c>
      <c r="J48" s="5"/>
      <c r="K48" s="5"/>
      <c r="L48" s="6">
        <v>120</v>
      </c>
      <c r="M48" s="61">
        <v>56</v>
      </c>
      <c r="N48" s="6">
        <f t="shared" si="1"/>
        <v>44.8</v>
      </c>
    </row>
    <row r="49" spans="1:16">
      <c r="A49" s="22" t="s">
        <v>83</v>
      </c>
      <c r="B49" s="22"/>
      <c r="C49" s="35">
        <v>43872</v>
      </c>
      <c r="D49" s="35"/>
      <c r="E49" s="35">
        <v>43913</v>
      </c>
      <c r="F49" s="5"/>
      <c r="G49" s="49"/>
      <c r="H49" s="5">
        <v>12.24</v>
      </c>
      <c r="I49" s="5">
        <f>45/30*42</f>
        <v>63</v>
      </c>
      <c r="J49" s="5"/>
      <c r="K49" s="5"/>
      <c r="L49" s="6">
        <v>85</v>
      </c>
      <c r="M49" s="61">
        <v>45</v>
      </c>
      <c r="N49" s="6">
        <f t="shared" si="1"/>
        <v>28</v>
      </c>
    </row>
    <row r="50" spans="1:16">
      <c r="A50" s="22" t="s">
        <v>88</v>
      </c>
      <c r="B50" s="22"/>
      <c r="C50" s="35">
        <v>43855</v>
      </c>
      <c r="D50" s="35"/>
      <c r="E50" s="35">
        <v>43941</v>
      </c>
      <c r="F50" s="5"/>
      <c r="G50" s="49"/>
      <c r="H50" s="5">
        <v>13.93</v>
      </c>
      <c r="I50" s="5">
        <f>56/30*85</f>
        <v>158.66666666666666</v>
      </c>
      <c r="J50" s="5"/>
      <c r="K50" s="5"/>
      <c r="L50" s="6">
        <v>110</v>
      </c>
      <c r="M50" s="61">
        <v>56</v>
      </c>
      <c r="N50" s="6">
        <f t="shared" si="1"/>
        <v>37.799999999999997</v>
      </c>
    </row>
    <row r="51" spans="1:16">
      <c r="A51" s="22" t="s">
        <v>90</v>
      </c>
      <c r="B51" s="22"/>
      <c r="C51" s="35" t="s">
        <v>96</v>
      </c>
      <c r="D51" s="35"/>
      <c r="E51" s="35">
        <v>44015</v>
      </c>
      <c r="F51" s="5" t="s">
        <v>160</v>
      </c>
      <c r="G51" s="49">
        <v>12.5</v>
      </c>
      <c r="H51" s="5">
        <v>11.29</v>
      </c>
      <c r="I51" s="5">
        <f>100</f>
        <v>100</v>
      </c>
      <c r="J51" s="5"/>
      <c r="K51" s="5"/>
      <c r="L51" s="6">
        <v>105</v>
      </c>
      <c r="M51" s="61">
        <f>25+11+22</f>
        <v>58</v>
      </c>
      <c r="N51" s="6">
        <f>12.5+(92.5-M51)*0.7</f>
        <v>36.65</v>
      </c>
      <c r="P51" s="41"/>
    </row>
    <row r="52" spans="1:16">
      <c r="A52" s="22" t="s">
        <v>97</v>
      </c>
      <c r="B52" s="22"/>
      <c r="C52" s="35">
        <v>43990</v>
      </c>
      <c r="D52" s="35"/>
      <c r="E52" s="35">
        <v>44036</v>
      </c>
      <c r="F52" s="5"/>
      <c r="G52" s="49"/>
      <c r="H52" s="5">
        <v>8.75</v>
      </c>
      <c r="I52" s="5">
        <f>56/30*46</f>
        <v>85.866666666666674</v>
      </c>
      <c r="J52" s="5"/>
      <c r="K52" s="5"/>
      <c r="L52" s="6">
        <v>110</v>
      </c>
      <c r="M52" s="61">
        <f>45+11</f>
        <v>56</v>
      </c>
      <c r="N52" s="6">
        <f>(L52-M52)*0.7</f>
        <v>37.799999999999997</v>
      </c>
    </row>
    <row r="53" spans="1:16">
      <c r="A53" s="22" t="s">
        <v>95</v>
      </c>
      <c r="B53" s="22"/>
      <c r="C53" s="35">
        <v>44028</v>
      </c>
      <c r="D53" s="35"/>
      <c r="E53" s="35">
        <v>44040</v>
      </c>
      <c r="F53" s="5"/>
      <c r="G53" s="49"/>
      <c r="H53" s="5">
        <v>8.75</v>
      </c>
      <c r="I53" s="5">
        <f>41/30*12</f>
        <v>16.399999999999999</v>
      </c>
      <c r="J53" s="5"/>
      <c r="K53" s="5"/>
      <c r="L53" s="6">
        <v>60</v>
      </c>
      <c r="M53" s="61">
        <v>41</v>
      </c>
      <c r="N53" s="6">
        <f>(L53-M53)*0.7</f>
        <v>13.299999999999999</v>
      </c>
    </row>
    <row r="54" spans="1:16">
      <c r="A54" s="22" t="s">
        <v>98</v>
      </c>
      <c r="B54" s="22"/>
      <c r="C54" s="35">
        <v>44048</v>
      </c>
      <c r="D54" s="35"/>
      <c r="E54" s="35">
        <v>44081</v>
      </c>
      <c r="F54" s="5" t="s">
        <v>160</v>
      </c>
      <c r="G54" s="49">
        <v>17.5</v>
      </c>
      <c r="H54" s="5">
        <v>27.88</v>
      </c>
      <c r="I54" s="5">
        <f>58/30*32</f>
        <v>61.866666666666667</v>
      </c>
      <c r="J54" s="5">
        <v>125</v>
      </c>
      <c r="K54" s="5"/>
      <c r="L54" s="6">
        <v>140</v>
      </c>
      <c r="M54" s="61">
        <f>25+33</f>
        <v>58</v>
      </c>
      <c r="N54" s="6">
        <f>17.5+64.5*0.7</f>
        <v>62.65</v>
      </c>
      <c r="P54" s="41"/>
    </row>
    <row r="55" spans="1:16">
      <c r="A55" s="22" t="s">
        <v>94</v>
      </c>
      <c r="B55" s="22"/>
      <c r="C55" s="35">
        <v>44011</v>
      </c>
      <c r="D55" s="35"/>
      <c r="E55" s="35">
        <v>44084</v>
      </c>
      <c r="F55" s="5"/>
      <c r="G55" s="49"/>
      <c r="H55" s="5">
        <v>11.29</v>
      </c>
      <c r="I55" s="5">
        <f>25/30*71</f>
        <v>59.166666666666671</v>
      </c>
      <c r="J55" s="5"/>
      <c r="K55" s="5"/>
      <c r="L55" s="6">
        <v>40</v>
      </c>
      <c r="M55" s="61">
        <v>25</v>
      </c>
      <c r="N55" s="6">
        <f>(L55-M55)*0.7</f>
        <v>10.5</v>
      </c>
    </row>
    <row r="56" spans="1:16">
      <c r="A56" s="2" t="s">
        <v>99</v>
      </c>
      <c r="B56" s="2"/>
      <c r="C56" s="35">
        <v>44084</v>
      </c>
      <c r="D56" s="35"/>
      <c r="E56" s="35">
        <v>44105</v>
      </c>
      <c r="F56" s="5" t="s">
        <v>160</v>
      </c>
      <c r="G56" s="49">
        <v>5</v>
      </c>
      <c r="H56" s="5">
        <v>12.24</v>
      </c>
      <c r="I56" s="5">
        <f>25/30*20</f>
        <v>16.666666666666668</v>
      </c>
      <c r="J56" s="5"/>
      <c r="K56" s="5"/>
      <c r="L56" s="43">
        <v>40</v>
      </c>
      <c r="M56" s="61">
        <v>22</v>
      </c>
      <c r="N56" s="6">
        <f>5+13*0.7</f>
        <v>14.1</v>
      </c>
      <c r="P56" s="41"/>
    </row>
    <row r="57" spans="1:16">
      <c r="A57" s="2" t="s">
        <v>102</v>
      </c>
      <c r="B57" s="2"/>
      <c r="C57" s="4" t="s">
        <v>103</v>
      </c>
      <c r="D57" s="4"/>
      <c r="E57" s="4">
        <v>44110</v>
      </c>
      <c r="F57" s="5" t="s">
        <v>160</v>
      </c>
      <c r="G57" s="49">
        <v>10</v>
      </c>
      <c r="H57" s="5">
        <v>36.65</v>
      </c>
      <c r="I57" s="5">
        <f>115/30*26</f>
        <v>99.666666666666671</v>
      </c>
      <c r="J57" s="5"/>
      <c r="K57" s="5"/>
      <c r="L57" s="6">
        <v>180</v>
      </c>
      <c r="M57" s="61">
        <v>115</v>
      </c>
      <c r="N57" s="6">
        <f>10+55*0.7</f>
        <v>48.5</v>
      </c>
      <c r="P57" s="41"/>
    </row>
    <row r="58" spans="1:16">
      <c r="A58" s="2" t="s">
        <v>94</v>
      </c>
      <c r="B58" s="2"/>
      <c r="C58" s="35">
        <v>44124</v>
      </c>
      <c r="D58" s="35"/>
      <c r="E58" s="35">
        <v>44124</v>
      </c>
      <c r="F58" s="5"/>
      <c r="G58" s="49"/>
      <c r="H58" s="5">
        <v>7.25</v>
      </c>
      <c r="I58" s="5">
        <v>0</v>
      </c>
      <c r="J58" s="5"/>
      <c r="K58" s="5"/>
      <c r="L58" s="6">
        <v>25</v>
      </c>
      <c r="M58" s="61">
        <v>11</v>
      </c>
      <c r="N58" s="6">
        <f>(L58-M58)*0.7</f>
        <v>9.7999999999999989</v>
      </c>
    </row>
    <row r="59" spans="1:16">
      <c r="A59" s="2" t="s">
        <v>100</v>
      </c>
      <c r="B59" s="2"/>
      <c r="C59" s="4">
        <v>44018</v>
      </c>
      <c r="D59" s="4"/>
      <c r="E59" s="4">
        <v>44124</v>
      </c>
      <c r="F59" s="40"/>
      <c r="G59" s="2"/>
      <c r="H59" s="5">
        <v>9.5</v>
      </c>
      <c r="I59" s="5">
        <f>25/30*104</f>
        <v>86.666666666666671</v>
      </c>
      <c r="J59" s="5"/>
      <c r="K59" s="5"/>
      <c r="L59" s="6">
        <v>70</v>
      </c>
      <c r="M59" s="61">
        <v>25</v>
      </c>
      <c r="N59" s="6">
        <f>(L59-M59)*0.7</f>
        <v>31.499999999999996</v>
      </c>
    </row>
    <row r="60" spans="1:16">
      <c r="A60" s="2" t="s">
        <v>101</v>
      </c>
      <c r="B60" s="2"/>
      <c r="C60" s="4">
        <v>44070</v>
      </c>
      <c r="D60" s="4"/>
      <c r="E60" s="4">
        <v>44131</v>
      </c>
      <c r="F60" s="40"/>
      <c r="G60" s="2"/>
      <c r="H60" s="5">
        <v>13.93</v>
      </c>
      <c r="I60" s="5">
        <f>71/30*60</f>
        <v>142</v>
      </c>
      <c r="J60" s="5"/>
      <c r="K60" s="5"/>
      <c r="L60" s="6">
        <v>120</v>
      </c>
      <c r="M60" s="61">
        <f>60+11</f>
        <v>71</v>
      </c>
      <c r="N60" s="6">
        <f>(L60-M60)*0.7</f>
        <v>34.299999999999997</v>
      </c>
    </row>
    <row r="61" spans="1:16">
      <c r="A61" s="22" t="s">
        <v>104</v>
      </c>
      <c r="B61" s="22"/>
      <c r="C61" s="4">
        <v>44159</v>
      </c>
      <c r="D61" s="4"/>
      <c r="E61" s="4">
        <v>44187</v>
      </c>
      <c r="F61" s="40"/>
      <c r="G61" s="2"/>
      <c r="H61" s="5">
        <v>13.93</v>
      </c>
      <c r="I61" s="5">
        <f>36/30*28</f>
        <v>33.6</v>
      </c>
      <c r="J61" s="5"/>
      <c r="K61" s="5"/>
      <c r="L61" s="6">
        <v>110</v>
      </c>
      <c r="M61" s="61">
        <f>25+11</f>
        <v>36</v>
      </c>
      <c r="N61" s="6">
        <f>(L61-M61)*0.7</f>
        <v>51.8</v>
      </c>
    </row>
    <row r="62" spans="1:16">
      <c r="A62" s="22" t="s">
        <v>120</v>
      </c>
      <c r="B62" s="22"/>
      <c r="C62" s="4">
        <v>44169</v>
      </c>
      <c r="D62" s="4"/>
      <c r="E62" s="4">
        <v>44208</v>
      </c>
      <c r="F62" s="5" t="s">
        <v>160</v>
      </c>
      <c r="G62" s="49">
        <v>10</v>
      </c>
      <c r="H62" s="5"/>
      <c r="I62" s="5">
        <f>41/30*38</f>
        <v>51.933333333333337</v>
      </c>
      <c r="J62" s="5"/>
      <c r="K62" s="5"/>
      <c r="L62" s="6">
        <v>70</v>
      </c>
      <c r="M62" s="61">
        <v>45</v>
      </c>
      <c r="N62" s="5">
        <f>10+(60-45)*0.7</f>
        <v>20.5</v>
      </c>
      <c r="O62" s="1" t="s">
        <v>145</v>
      </c>
    </row>
    <row r="63" spans="1:16">
      <c r="A63" s="22" t="s">
        <v>108</v>
      </c>
      <c r="B63" s="22"/>
      <c r="C63" s="4">
        <v>44185</v>
      </c>
      <c r="D63" s="4"/>
      <c r="E63" s="4">
        <v>44242</v>
      </c>
      <c r="F63" s="5" t="s">
        <v>160</v>
      </c>
      <c r="G63" s="49">
        <v>20</v>
      </c>
      <c r="H63" s="5">
        <v>26.48</v>
      </c>
      <c r="I63" s="5">
        <f>50/30*55</f>
        <v>91.666666666666671</v>
      </c>
      <c r="J63" s="5">
        <v>160</v>
      </c>
      <c r="K63" s="5"/>
      <c r="L63" s="6">
        <v>190</v>
      </c>
      <c r="M63" s="61">
        <v>61</v>
      </c>
      <c r="N63" s="5">
        <f>(20+(170-61)*0.7)</f>
        <v>96.3</v>
      </c>
      <c r="O63" s="1" t="s">
        <v>145</v>
      </c>
    </row>
    <row r="64" spans="1:16">
      <c r="A64" s="22" t="s">
        <v>109</v>
      </c>
      <c r="B64" s="22"/>
      <c r="C64" s="4">
        <v>44209</v>
      </c>
      <c r="D64" s="4"/>
      <c r="E64" s="4">
        <v>44250</v>
      </c>
      <c r="F64" s="5" t="s">
        <v>160</v>
      </c>
      <c r="G64" s="49">
        <v>22.5</v>
      </c>
      <c r="H64" s="5">
        <v>22.83</v>
      </c>
      <c r="I64" s="5">
        <f>100/30*40</f>
        <v>133.33333333333334</v>
      </c>
      <c r="J64" s="5">
        <v>125</v>
      </c>
      <c r="K64" s="5"/>
      <c r="L64" s="6">
        <v>210</v>
      </c>
      <c r="M64" s="61">
        <v>100</v>
      </c>
      <c r="N64" s="6">
        <f>(22.5+87.5*0.7)</f>
        <v>83.75</v>
      </c>
    </row>
    <row r="65" spans="1:15">
      <c r="A65" s="2" t="s">
        <v>113</v>
      </c>
      <c r="B65" s="2"/>
      <c r="C65" s="4">
        <v>44245</v>
      </c>
      <c r="D65" s="4"/>
      <c r="E65" s="4">
        <v>44271</v>
      </c>
      <c r="F65" s="5" t="s">
        <v>160</v>
      </c>
      <c r="G65" s="49">
        <v>15</v>
      </c>
      <c r="H65" s="5">
        <v>26.76</v>
      </c>
      <c r="I65" s="5">
        <f>67/30*28</f>
        <v>62.533333333333331</v>
      </c>
      <c r="J65" s="5"/>
      <c r="K65" s="5"/>
      <c r="L65" s="6">
        <v>140</v>
      </c>
      <c r="M65" s="61">
        <v>67</v>
      </c>
      <c r="N65" s="6">
        <f>(15+0.7*58)</f>
        <v>55.599999999999994</v>
      </c>
    </row>
    <row r="66" spans="1:15">
      <c r="A66" s="2" t="s">
        <v>114</v>
      </c>
      <c r="B66" s="2"/>
      <c r="C66" s="4">
        <v>44222</v>
      </c>
      <c r="D66" s="4"/>
      <c r="E66" s="4">
        <v>44279</v>
      </c>
      <c r="F66" s="5" t="s">
        <v>160</v>
      </c>
      <c r="G66" s="49">
        <v>12.5</v>
      </c>
      <c r="H66" s="5">
        <v>13.4</v>
      </c>
      <c r="I66" s="5">
        <f>56/30*58</f>
        <v>108.26666666666667</v>
      </c>
      <c r="J66" s="5">
        <v>100</v>
      </c>
      <c r="K66" s="5"/>
      <c r="L66" s="6">
        <v>140</v>
      </c>
      <c r="M66" s="61">
        <v>56</v>
      </c>
      <c r="N66" s="5">
        <f>(12.5+71.5*0.7)</f>
        <v>62.55</v>
      </c>
      <c r="O66" s="1" t="s">
        <v>145</v>
      </c>
    </row>
    <row r="67" spans="1:15">
      <c r="A67" s="2" t="s">
        <v>112</v>
      </c>
      <c r="B67" s="2"/>
      <c r="C67" s="4">
        <v>44270</v>
      </c>
      <c r="D67" s="4"/>
      <c r="E67" s="4">
        <v>44286</v>
      </c>
      <c r="F67" s="5" t="s">
        <v>160</v>
      </c>
      <c r="G67" s="49">
        <v>17.5</v>
      </c>
      <c r="H67" s="5">
        <v>31.96</v>
      </c>
      <c r="I67" s="5">
        <f>55/30*16</f>
        <v>29.333333333333332</v>
      </c>
      <c r="J67" s="5">
        <v>75</v>
      </c>
      <c r="K67" s="5"/>
      <c r="L67" s="6">
        <v>100</v>
      </c>
      <c r="M67" s="61">
        <v>55</v>
      </c>
      <c r="N67" s="6">
        <f>(17.5+27.5*0.7)</f>
        <v>36.75</v>
      </c>
    </row>
    <row r="68" spans="1:15">
      <c r="A68" s="2" t="s">
        <v>119</v>
      </c>
      <c r="B68" s="2"/>
      <c r="C68" s="4">
        <v>44281</v>
      </c>
      <c r="D68" s="4"/>
      <c r="E68" s="4">
        <v>44316</v>
      </c>
      <c r="F68" s="40"/>
      <c r="G68" s="2"/>
      <c r="H68" s="5">
        <v>14.26</v>
      </c>
      <c r="I68" s="5">
        <f>45/30*34</f>
        <v>51</v>
      </c>
      <c r="J68" s="5"/>
      <c r="K68" s="5"/>
      <c r="L68" s="6">
        <v>110</v>
      </c>
      <c r="M68" s="61">
        <v>45</v>
      </c>
      <c r="N68" s="6">
        <f>(65*0.7)</f>
        <v>45.5</v>
      </c>
    </row>
    <row r="69" spans="1:15">
      <c r="A69" s="22" t="s">
        <v>121</v>
      </c>
      <c r="B69" s="22"/>
      <c r="C69" s="4">
        <v>44316</v>
      </c>
      <c r="D69" s="4"/>
      <c r="E69" s="4">
        <v>44354</v>
      </c>
      <c r="F69" s="40"/>
      <c r="G69" s="2"/>
      <c r="H69" s="5">
        <v>15.15</v>
      </c>
      <c r="I69" s="5">
        <f>36/30*37</f>
        <v>44.4</v>
      </c>
      <c r="J69" s="5"/>
      <c r="K69" s="5"/>
      <c r="L69" s="6">
        <v>110</v>
      </c>
      <c r="M69" s="61">
        <v>36</v>
      </c>
      <c r="N69" s="5">
        <f>(L69-M69)*0.7</f>
        <v>51.8</v>
      </c>
      <c r="O69" s="1" t="s">
        <v>145</v>
      </c>
    </row>
    <row r="70" spans="1:15">
      <c r="A70" s="22" t="s">
        <v>126</v>
      </c>
      <c r="B70" s="22"/>
      <c r="C70" s="4">
        <v>44336</v>
      </c>
      <c r="D70" s="4"/>
      <c r="E70" s="4">
        <v>44370</v>
      </c>
      <c r="F70" s="5" t="s">
        <v>161</v>
      </c>
      <c r="G70" s="49">
        <v>17.5</v>
      </c>
      <c r="H70" s="5">
        <v>35.78</v>
      </c>
      <c r="I70" s="5">
        <f>58/30*33</f>
        <v>63.8</v>
      </c>
      <c r="J70" s="5">
        <v>50</v>
      </c>
      <c r="K70" s="5"/>
      <c r="L70" s="6">
        <v>150</v>
      </c>
      <c r="M70" s="61">
        <v>58</v>
      </c>
      <c r="N70" s="6">
        <f>(17.5+74.5*0.7)</f>
        <v>69.650000000000006</v>
      </c>
    </row>
    <row r="71" spans="1:15">
      <c r="A71" s="44" t="s">
        <v>125</v>
      </c>
      <c r="B71" s="44"/>
      <c r="C71" s="4">
        <v>44342</v>
      </c>
      <c r="D71" s="4"/>
      <c r="E71" s="4">
        <v>44386</v>
      </c>
      <c r="F71" s="5" t="s">
        <v>160</v>
      </c>
      <c r="G71" s="49">
        <v>12.5</v>
      </c>
      <c r="H71" s="5">
        <v>15.46</v>
      </c>
      <c r="I71" s="5">
        <f>36/30*43</f>
        <v>51.6</v>
      </c>
      <c r="J71" s="5">
        <f>50+45</f>
        <v>95</v>
      </c>
      <c r="K71" s="5"/>
      <c r="L71" s="6">
        <v>80</v>
      </c>
      <c r="M71" s="61">
        <v>33</v>
      </c>
      <c r="N71" s="6">
        <f>12.5+(L71-M71-12.5)*0.7</f>
        <v>36.65</v>
      </c>
    </row>
    <row r="72" spans="1:15">
      <c r="A72" s="44" t="s">
        <v>129</v>
      </c>
      <c r="B72" s="44"/>
      <c r="C72" s="4">
        <v>44348</v>
      </c>
      <c r="D72" s="4"/>
      <c r="E72" s="4">
        <v>44389</v>
      </c>
      <c r="F72" s="5" t="s">
        <v>160</v>
      </c>
      <c r="G72" s="49">
        <v>12.5</v>
      </c>
      <c r="H72" s="5">
        <v>26.22</v>
      </c>
      <c r="I72" s="5">
        <f>71/30*42</f>
        <v>99.4</v>
      </c>
      <c r="J72" s="5">
        <f>50+45</f>
        <v>95</v>
      </c>
      <c r="K72" s="5"/>
      <c r="L72" s="6">
        <v>140</v>
      </c>
      <c r="M72" s="61">
        <v>71</v>
      </c>
      <c r="N72" s="6">
        <f>(12.5+(127.5-71)*0.7)</f>
        <v>52.05</v>
      </c>
    </row>
    <row r="73" spans="1:15">
      <c r="A73" s="44" t="s">
        <v>124</v>
      </c>
      <c r="B73" s="44"/>
      <c r="C73" s="4">
        <v>44348</v>
      </c>
      <c r="D73" s="4"/>
      <c r="E73" s="4">
        <v>44389</v>
      </c>
      <c r="F73" s="40"/>
      <c r="G73" s="2"/>
      <c r="H73" s="5">
        <v>11.62</v>
      </c>
      <c r="I73" s="5">
        <f>26/30*42</f>
        <v>36.4</v>
      </c>
      <c r="J73" s="5">
        <v>65</v>
      </c>
      <c r="K73" s="5"/>
      <c r="L73" s="6">
        <v>70</v>
      </c>
      <c r="M73" s="61">
        <v>26</v>
      </c>
      <c r="N73" s="6">
        <f>(70-26)*0.7</f>
        <v>30.799999999999997</v>
      </c>
    </row>
    <row r="74" spans="1:15">
      <c r="A74" s="44" t="s">
        <v>132</v>
      </c>
      <c r="B74" s="44"/>
      <c r="C74" s="4">
        <v>44407</v>
      </c>
      <c r="D74" s="4"/>
      <c r="E74" s="4">
        <v>44461</v>
      </c>
      <c r="F74" s="40"/>
      <c r="G74" s="2"/>
      <c r="H74" s="5">
        <v>9.8800000000000008</v>
      </c>
      <c r="I74" s="5">
        <f>25/30*52</f>
        <v>43.333333333333336</v>
      </c>
      <c r="J74" s="5"/>
      <c r="K74" s="5"/>
      <c r="L74" s="6">
        <v>40</v>
      </c>
      <c r="M74" s="61">
        <v>25</v>
      </c>
      <c r="N74" s="6">
        <f>(L74-M74)*0.7</f>
        <v>10.5</v>
      </c>
    </row>
    <row r="75" spans="1:15">
      <c r="A75" s="44" t="s">
        <v>133</v>
      </c>
      <c r="B75" s="44"/>
      <c r="C75" s="4">
        <v>44432</v>
      </c>
      <c r="D75" s="4"/>
      <c r="E75" s="4">
        <v>44467</v>
      </c>
      <c r="F75" s="40"/>
      <c r="G75" s="2"/>
      <c r="H75" s="5">
        <v>9.8800000000000008</v>
      </c>
      <c r="I75" s="5">
        <f>25/30*34</f>
        <v>28.333333333333336</v>
      </c>
      <c r="J75" s="5"/>
      <c r="K75" s="5"/>
      <c r="L75" s="6">
        <v>40</v>
      </c>
      <c r="M75" s="61">
        <v>25</v>
      </c>
      <c r="N75" s="6">
        <f>(L75-M75)*0.7</f>
        <v>10.5</v>
      </c>
    </row>
    <row r="76" spans="1:15">
      <c r="A76" s="52" t="s">
        <v>141</v>
      </c>
      <c r="B76" s="52"/>
      <c r="C76" s="57">
        <v>44459</v>
      </c>
      <c r="D76" s="57"/>
      <c r="E76" s="57">
        <v>44481</v>
      </c>
      <c r="F76" s="10" t="s">
        <v>161</v>
      </c>
      <c r="G76" s="12">
        <v>10</v>
      </c>
      <c r="H76" s="25">
        <v>15.15</v>
      </c>
      <c r="I76" s="25">
        <f>46/30*22</f>
        <v>33.733333333333334</v>
      </c>
      <c r="J76" s="25">
        <v>80</v>
      </c>
      <c r="K76" s="25"/>
      <c r="L76" s="27">
        <v>120</v>
      </c>
      <c r="M76" s="64">
        <v>46</v>
      </c>
      <c r="N76" s="27">
        <f>10+(120-56)*0.7</f>
        <v>54.8</v>
      </c>
    </row>
    <row r="77" spans="1:15">
      <c r="A77" s="52" t="s">
        <v>140</v>
      </c>
      <c r="B77" s="52"/>
      <c r="C77" s="57">
        <v>44449</v>
      </c>
      <c r="D77" s="57"/>
      <c r="E77" s="57">
        <v>44482</v>
      </c>
      <c r="F77" s="25" t="s">
        <v>160</v>
      </c>
      <c r="G77" s="58">
        <v>10</v>
      </c>
      <c r="H77" s="25">
        <v>13.4</v>
      </c>
      <c r="I77" s="25">
        <f>60/30*33</f>
        <v>66</v>
      </c>
      <c r="J77" s="25">
        <v>80</v>
      </c>
      <c r="K77" s="25"/>
      <c r="L77" s="27">
        <v>120</v>
      </c>
      <c r="M77" s="64">
        <v>61</v>
      </c>
      <c r="N77" s="27">
        <f>(10+49*0.7)</f>
        <v>44.3</v>
      </c>
    </row>
    <row r="78" spans="1:15">
      <c r="A78" s="44" t="s">
        <v>137</v>
      </c>
      <c r="B78" s="44"/>
      <c r="C78" s="35">
        <v>44474</v>
      </c>
      <c r="D78" s="35"/>
      <c r="E78" s="35">
        <v>44487</v>
      </c>
      <c r="F78" s="10" t="s">
        <v>161</v>
      </c>
      <c r="G78" s="12">
        <v>12.5</v>
      </c>
      <c r="H78" s="5">
        <v>15.15</v>
      </c>
      <c r="I78" s="5">
        <f>71/30*13</f>
        <v>30.766666666666666</v>
      </c>
      <c r="J78" s="5">
        <v>95</v>
      </c>
      <c r="K78" s="5"/>
      <c r="L78" s="6">
        <v>140</v>
      </c>
      <c r="M78" s="61">
        <v>71</v>
      </c>
      <c r="N78" s="6">
        <f>12.5+(56.5)*0.7</f>
        <v>52.05</v>
      </c>
    </row>
    <row r="79" spans="1:15">
      <c r="A79" s="44" t="s">
        <v>143</v>
      </c>
      <c r="B79" s="44"/>
      <c r="C79" s="35">
        <v>43717</v>
      </c>
      <c r="D79" s="35"/>
      <c r="E79" s="35">
        <v>44505</v>
      </c>
      <c r="F79" s="40"/>
      <c r="G79" s="49"/>
      <c r="H79" s="5">
        <v>13.4</v>
      </c>
      <c r="I79" s="5">
        <f>36*25+36/30*26</f>
        <v>931.2</v>
      </c>
      <c r="J79" s="5"/>
      <c r="K79" s="5"/>
      <c r="L79" s="6">
        <v>100</v>
      </c>
      <c r="M79" s="61">
        <v>36</v>
      </c>
      <c r="N79" s="6">
        <f>(100-36)*0.7</f>
        <v>44.8</v>
      </c>
    </row>
    <row r="80" spans="1:15">
      <c r="A80" s="44" t="s">
        <v>139</v>
      </c>
      <c r="B80" s="44"/>
      <c r="C80" s="35">
        <v>44492</v>
      </c>
      <c r="D80" s="35"/>
      <c r="E80" s="35">
        <v>44539</v>
      </c>
      <c r="F80" s="40"/>
      <c r="G80" s="49"/>
      <c r="H80" s="5">
        <v>16.350000000000001</v>
      </c>
      <c r="I80" s="5">
        <f>71/30*46</f>
        <v>108.86666666666667</v>
      </c>
      <c r="J80" s="5">
        <v>95</v>
      </c>
      <c r="K80" s="5"/>
      <c r="L80" s="6">
        <v>140</v>
      </c>
      <c r="M80" s="61">
        <v>71</v>
      </c>
      <c r="N80" s="6">
        <f>(140-71)*0.7/30*21</f>
        <v>33.809999999999995</v>
      </c>
    </row>
    <row r="81" spans="1:14">
      <c r="A81" s="44" t="s">
        <v>144</v>
      </c>
      <c r="B81" s="44"/>
      <c r="C81" s="35">
        <v>44526</v>
      </c>
      <c r="D81" s="35"/>
      <c r="E81" s="35">
        <v>44550</v>
      </c>
      <c r="F81" s="5" t="s">
        <v>160</v>
      </c>
      <c r="G81" s="49">
        <v>12.5</v>
      </c>
      <c r="H81" s="5">
        <v>13.4</v>
      </c>
      <c r="I81" s="5">
        <f>83/30*24</f>
        <v>66.400000000000006</v>
      </c>
      <c r="J81" s="5"/>
      <c r="K81" s="5"/>
      <c r="L81" s="6">
        <v>140</v>
      </c>
      <c r="M81" s="61">
        <v>94</v>
      </c>
      <c r="N81" s="6">
        <f>12.5+(140-12.5-94)*0.7</f>
        <v>35.950000000000003</v>
      </c>
    </row>
    <row r="82" spans="1:14">
      <c r="A82" s="44" t="s">
        <v>149</v>
      </c>
      <c r="B82" s="44"/>
      <c r="C82" s="35">
        <v>44880</v>
      </c>
      <c r="D82" s="35"/>
      <c r="E82" s="35">
        <v>44575</v>
      </c>
      <c r="F82" s="40"/>
      <c r="G82" s="49"/>
      <c r="H82" s="5">
        <v>13.4</v>
      </c>
      <c r="I82" s="5"/>
      <c r="J82" s="5">
        <v>50</v>
      </c>
      <c r="K82" s="5"/>
      <c r="L82" s="6">
        <v>160</v>
      </c>
      <c r="M82" s="61">
        <f>71+9</f>
        <v>80</v>
      </c>
      <c r="N82" s="6">
        <f>(160-80)*0.7</f>
        <v>56</v>
      </c>
    </row>
    <row r="83" spans="1:14">
      <c r="A83" s="44" t="s">
        <v>146</v>
      </c>
      <c r="B83" s="44"/>
      <c r="C83" s="4">
        <v>44586</v>
      </c>
      <c r="D83" s="4"/>
      <c r="E83" s="4">
        <v>44615</v>
      </c>
      <c r="F83" s="10" t="s">
        <v>161</v>
      </c>
      <c r="G83" s="12">
        <v>12.5</v>
      </c>
      <c r="H83" s="5">
        <v>15.46</v>
      </c>
      <c r="I83" s="5">
        <f>27/30*28</f>
        <v>25.2</v>
      </c>
      <c r="J83" s="5">
        <v>110</v>
      </c>
      <c r="K83" s="5"/>
      <c r="L83" s="6">
        <v>154</v>
      </c>
      <c r="M83" s="61">
        <v>62</v>
      </c>
      <c r="N83" s="6">
        <f>12.5+(154-12.5-62)*0.7</f>
        <v>68.150000000000006</v>
      </c>
    </row>
    <row r="84" spans="1:14">
      <c r="A84" s="44" t="s">
        <v>148</v>
      </c>
      <c r="B84" s="44"/>
      <c r="C84" s="4">
        <v>44579</v>
      </c>
      <c r="D84" s="4"/>
      <c r="E84" s="4">
        <v>44594</v>
      </c>
      <c r="F84" s="40"/>
      <c r="G84" s="49"/>
      <c r="H84" s="5">
        <v>13.4</v>
      </c>
      <c r="I84" s="5">
        <f>22/30*14</f>
        <v>10.266666666666666</v>
      </c>
      <c r="J84" s="5">
        <v>30</v>
      </c>
      <c r="K84" s="5"/>
      <c r="L84" s="6">
        <v>50</v>
      </c>
      <c r="M84" s="61">
        <v>22</v>
      </c>
      <c r="N84" s="6">
        <f>(50-22)*0.7</f>
        <v>19.599999999999998</v>
      </c>
    </row>
    <row r="85" spans="1:14">
      <c r="A85" s="44" t="s">
        <v>150</v>
      </c>
      <c r="B85" s="44"/>
      <c r="C85" s="4">
        <v>44899</v>
      </c>
      <c r="D85" s="4"/>
      <c r="E85" s="4">
        <v>44607</v>
      </c>
      <c r="F85" s="12" t="s">
        <v>160</v>
      </c>
      <c r="G85" s="12">
        <v>12.5</v>
      </c>
      <c r="H85" s="5">
        <v>13.4</v>
      </c>
      <c r="I85" s="5">
        <f>71/30*61</f>
        <v>144.36666666666667</v>
      </c>
      <c r="J85" s="5">
        <v>80</v>
      </c>
      <c r="K85" s="5"/>
      <c r="L85" s="6">
        <v>120</v>
      </c>
      <c r="M85" s="61">
        <v>60</v>
      </c>
      <c r="N85" s="6">
        <f>12.5+(120-72.5)*0.7</f>
        <v>45.75</v>
      </c>
    </row>
    <row r="86" spans="1:14">
      <c r="A86" s="44" t="s">
        <v>151</v>
      </c>
      <c r="B86" s="44"/>
      <c r="C86" s="4">
        <v>44926</v>
      </c>
      <c r="D86" s="4"/>
      <c r="E86" s="4">
        <v>44649</v>
      </c>
      <c r="F86" s="40"/>
      <c r="G86" s="40"/>
      <c r="H86" s="5">
        <v>9.0299999999999994</v>
      </c>
      <c r="I86" s="5">
        <f>25*2+25/30*29</f>
        <v>74.166666666666671</v>
      </c>
      <c r="J86" s="5">
        <v>80</v>
      </c>
      <c r="K86" s="5"/>
      <c r="L86" s="6">
        <v>67.5</v>
      </c>
      <c r="M86" s="61">
        <v>25</v>
      </c>
      <c r="N86" s="6">
        <f>(67.5-25)*0.7</f>
        <v>29.749999999999996</v>
      </c>
    </row>
    <row r="87" spans="1:14">
      <c r="A87" s="44" t="s">
        <v>152</v>
      </c>
      <c r="B87" s="44"/>
      <c r="C87" s="4">
        <v>44852</v>
      </c>
      <c r="D87" s="4"/>
      <c r="E87" s="4">
        <v>44649</v>
      </c>
      <c r="F87" s="40"/>
      <c r="G87" s="40"/>
      <c r="H87" s="5">
        <v>9.0299999999999994</v>
      </c>
      <c r="I87" s="5">
        <f>45*4+45/30*13</f>
        <v>199.5</v>
      </c>
      <c r="J87" s="5">
        <v>80</v>
      </c>
      <c r="K87" s="5"/>
      <c r="L87" s="6">
        <v>67.5</v>
      </c>
      <c r="M87" s="61">
        <v>45</v>
      </c>
      <c r="N87" s="6">
        <f>(L87-M87)*0.7</f>
        <v>15.749999999999998</v>
      </c>
    </row>
    <row r="88" spans="1:14">
      <c r="A88" s="44" t="s">
        <v>153</v>
      </c>
      <c r="B88" s="44"/>
      <c r="C88" s="4">
        <v>44623</v>
      </c>
      <c r="D88" s="4"/>
      <c r="E88" s="4">
        <v>44623</v>
      </c>
      <c r="F88" s="40"/>
      <c r="G88" s="40"/>
      <c r="H88" s="5">
        <v>11.03</v>
      </c>
      <c r="I88" s="5">
        <v>0</v>
      </c>
      <c r="J88" s="5">
        <v>15</v>
      </c>
      <c r="K88" s="5"/>
      <c r="L88" s="6">
        <v>30</v>
      </c>
      <c r="M88" s="61">
        <v>12</v>
      </c>
      <c r="N88" s="6">
        <f>(L88-M88)*0.7</f>
        <v>12.6</v>
      </c>
    </row>
    <row r="89" spans="1:14">
      <c r="A89" s="44" t="s">
        <v>154</v>
      </c>
      <c r="B89" s="44"/>
      <c r="C89" s="4">
        <v>44881</v>
      </c>
      <c r="D89" s="4"/>
      <c r="E89" s="4">
        <v>44628</v>
      </c>
      <c r="F89" s="40"/>
      <c r="G89" s="40"/>
      <c r="H89" s="5">
        <v>9.0299999999999994</v>
      </c>
      <c r="I89" s="5">
        <f>65*3+65/30*22</f>
        <v>242.66666666666666</v>
      </c>
      <c r="J89" s="5">
        <v>95</v>
      </c>
      <c r="K89" s="5"/>
      <c r="L89" s="6">
        <v>112</v>
      </c>
      <c r="M89" s="61">
        <v>65</v>
      </c>
      <c r="N89" s="6">
        <f>(L89-M89)*0.7</f>
        <v>32.9</v>
      </c>
    </row>
    <row r="90" spans="1:14">
      <c r="A90" s="44" t="s">
        <v>155</v>
      </c>
      <c r="B90" s="44"/>
      <c r="C90" s="4">
        <v>44490</v>
      </c>
      <c r="D90" s="4"/>
      <c r="E90" s="4">
        <v>44648</v>
      </c>
      <c r="F90" s="40"/>
      <c r="G90" s="40"/>
      <c r="H90" s="5">
        <v>13.4</v>
      </c>
      <c r="I90" s="5">
        <f>45*5+45/30*7</f>
        <v>235.5</v>
      </c>
      <c r="J90" s="5">
        <v>80</v>
      </c>
      <c r="K90" s="5"/>
      <c r="L90" s="6">
        <v>67.5</v>
      </c>
      <c r="M90" s="61">
        <v>45</v>
      </c>
      <c r="N90" s="6">
        <f>(L90-M90)*0.7</f>
        <v>15.749999999999998</v>
      </c>
    </row>
    <row r="91" spans="1:14">
      <c r="A91" s="44" t="s">
        <v>156</v>
      </c>
      <c r="B91" s="44"/>
      <c r="C91" s="4">
        <v>44489</v>
      </c>
      <c r="D91" s="4"/>
      <c r="E91" s="4">
        <v>44651</v>
      </c>
      <c r="F91" s="40"/>
      <c r="G91" s="40"/>
      <c r="H91" s="5">
        <v>15.46</v>
      </c>
      <c r="I91" s="5">
        <f>50*5+50/10</f>
        <v>255</v>
      </c>
      <c r="J91" s="5">
        <v>145</v>
      </c>
      <c r="K91" s="5"/>
      <c r="L91" s="6">
        <v>125</v>
      </c>
      <c r="M91" s="61">
        <v>50</v>
      </c>
      <c r="N91" s="6">
        <f>(L91-M91)*0.7</f>
        <v>52.5</v>
      </c>
    </row>
    <row r="92" spans="1:14">
      <c r="A92" s="44" t="s">
        <v>157</v>
      </c>
      <c r="B92" s="44"/>
      <c r="C92" s="4">
        <v>44627</v>
      </c>
      <c r="D92" s="4"/>
      <c r="E92" s="4">
        <v>44627</v>
      </c>
      <c r="F92" s="10" t="s">
        <v>161</v>
      </c>
      <c r="G92" s="12">
        <v>10</v>
      </c>
      <c r="H92" s="5">
        <v>15.46</v>
      </c>
      <c r="I92" s="5">
        <v>0</v>
      </c>
      <c r="J92" s="5">
        <v>0</v>
      </c>
      <c r="K92" s="5"/>
      <c r="L92" s="6">
        <v>100</v>
      </c>
      <c r="M92" s="61">
        <v>44</v>
      </c>
      <c r="N92" s="6">
        <f>10+(46)*0.7</f>
        <v>42.199999999999996</v>
      </c>
    </row>
    <row r="93" spans="1:14">
      <c r="A93" s="44" t="s">
        <v>158</v>
      </c>
      <c r="B93" s="44"/>
      <c r="C93" s="4">
        <v>44627</v>
      </c>
      <c r="D93" s="4"/>
      <c r="E93" s="4">
        <v>44627</v>
      </c>
      <c r="F93" s="10" t="s">
        <v>161</v>
      </c>
      <c r="G93" s="12">
        <v>12.5</v>
      </c>
      <c r="H93" s="5">
        <v>15.46</v>
      </c>
      <c r="I93" s="5">
        <v>0</v>
      </c>
      <c r="J93" s="5">
        <v>0</v>
      </c>
      <c r="K93" s="5"/>
      <c r="L93" s="6">
        <v>125</v>
      </c>
      <c r="M93" s="61">
        <v>55</v>
      </c>
      <c r="N93" s="6">
        <f>12.5+(57.5)*0.7</f>
        <v>52.75</v>
      </c>
    </row>
    <row r="94" spans="1:14">
      <c r="A94" s="44" t="s">
        <v>168</v>
      </c>
      <c r="B94" s="44"/>
      <c r="C94" s="4">
        <v>44636</v>
      </c>
      <c r="D94" s="4"/>
      <c r="E94" s="4">
        <v>44659</v>
      </c>
      <c r="F94" s="40"/>
      <c r="G94" s="5"/>
      <c r="H94" s="5">
        <v>13.72</v>
      </c>
      <c r="I94" s="5">
        <f>55/30*24</f>
        <v>44</v>
      </c>
      <c r="J94" s="5">
        <v>80</v>
      </c>
      <c r="K94" s="5"/>
      <c r="L94" s="6">
        <v>120</v>
      </c>
      <c r="M94" s="61">
        <v>55</v>
      </c>
      <c r="N94" s="6">
        <f>10+(110-M94)*0.7</f>
        <v>48.5</v>
      </c>
    </row>
    <row r="95" spans="1:14">
      <c r="A95" s="44" t="s">
        <v>171</v>
      </c>
      <c r="B95" s="44"/>
      <c r="C95" s="4">
        <v>44648</v>
      </c>
      <c r="D95" s="4"/>
      <c r="E95" s="4">
        <v>44734</v>
      </c>
      <c r="F95" s="40"/>
      <c r="G95" s="5"/>
      <c r="H95" s="5">
        <v>13.72</v>
      </c>
      <c r="I95" s="5">
        <f>56/30*84</f>
        <v>156.80000000000001</v>
      </c>
      <c r="J95" s="5">
        <v>95</v>
      </c>
      <c r="K95" s="5"/>
      <c r="L95" s="6">
        <v>140</v>
      </c>
      <c r="M95" s="61">
        <v>56</v>
      </c>
      <c r="N95" s="6">
        <f>(140-56)*0.7</f>
        <v>58.8</v>
      </c>
    </row>
    <row r="96" spans="1:14">
      <c r="A96" s="44" t="s">
        <v>172</v>
      </c>
      <c r="B96" s="44"/>
      <c r="C96" s="4">
        <v>44705</v>
      </c>
      <c r="D96" s="4"/>
      <c r="E96" s="4">
        <v>44715</v>
      </c>
      <c r="F96" s="40"/>
      <c r="G96" s="5"/>
      <c r="H96" s="5">
        <v>10.039999999999999</v>
      </c>
      <c r="I96" s="5">
        <f>25/30*9</f>
        <v>7.5</v>
      </c>
      <c r="J96" s="5"/>
      <c r="K96" s="5"/>
      <c r="L96" s="6">
        <v>50</v>
      </c>
      <c r="M96" s="61">
        <v>25</v>
      </c>
      <c r="N96" s="6">
        <f>(50-25)*0.7</f>
        <v>17.5</v>
      </c>
    </row>
    <row r="97" spans="1:14">
      <c r="A97" s="44" t="s">
        <v>173</v>
      </c>
      <c r="B97" s="44"/>
      <c r="C97" s="4">
        <v>44704</v>
      </c>
      <c r="D97" s="4"/>
      <c r="E97" s="4">
        <v>44721</v>
      </c>
      <c r="F97" s="10" t="s">
        <v>161</v>
      </c>
      <c r="G97" s="56">
        <v>12.5</v>
      </c>
      <c r="H97" s="5">
        <v>13.72</v>
      </c>
      <c r="I97" s="5">
        <f>37/30*16</f>
        <v>19.733333333333334</v>
      </c>
      <c r="J97" s="5">
        <f>50+45</f>
        <v>95</v>
      </c>
      <c r="K97" s="5"/>
      <c r="L97" s="6">
        <v>110</v>
      </c>
      <c r="M97" s="61">
        <v>37</v>
      </c>
      <c r="N97" s="56">
        <f>12.5+(97.5-37)*0.7</f>
        <v>54.849999999999994</v>
      </c>
    </row>
    <row r="98" spans="1:14">
      <c r="A98" s="44" t="s">
        <v>174</v>
      </c>
      <c r="B98" s="44"/>
      <c r="C98" s="4">
        <v>44715</v>
      </c>
      <c r="D98" s="4"/>
      <c r="E98" s="4">
        <v>44820</v>
      </c>
      <c r="F98" s="10" t="s">
        <v>161</v>
      </c>
      <c r="G98" s="56">
        <v>15</v>
      </c>
      <c r="H98" s="5">
        <v>14.6</v>
      </c>
      <c r="I98" s="5">
        <f>56/30*103</f>
        <v>192.26666666666668</v>
      </c>
      <c r="J98" s="5">
        <v>50</v>
      </c>
      <c r="K98" s="5"/>
      <c r="L98" s="6">
        <f>130</f>
        <v>130</v>
      </c>
      <c r="M98" s="61">
        <v>56</v>
      </c>
      <c r="N98" s="56">
        <f>15+(115-56)*0.7</f>
        <v>56.3</v>
      </c>
    </row>
    <row r="99" spans="1:14">
      <c r="A99" s="44" t="s">
        <v>183</v>
      </c>
      <c r="B99" s="44"/>
      <c r="C99" s="4">
        <v>44749</v>
      </c>
      <c r="D99" s="4">
        <v>44830</v>
      </c>
      <c r="E99" s="4">
        <v>44858</v>
      </c>
      <c r="F99" s="40"/>
      <c r="G99" s="5"/>
      <c r="H99" s="5">
        <v>11.03</v>
      </c>
      <c r="I99" s="5">
        <v>25</v>
      </c>
      <c r="J99" s="5">
        <v>15</v>
      </c>
      <c r="K99" s="5"/>
      <c r="L99" s="6">
        <v>80</v>
      </c>
      <c r="M99" s="61">
        <v>25</v>
      </c>
      <c r="N99" s="6">
        <f>55*0.7</f>
        <v>38.5</v>
      </c>
    </row>
    <row r="100" spans="1:14">
      <c r="A100" s="44" t="s">
        <v>184</v>
      </c>
      <c r="B100" s="44"/>
      <c r="C100" s="4">
        <v>44775</v>
      </c>
      <c r="D100" s="4">
        <v>44810</v>
      </c>
      <c r="E100" s="4">
        <v>44848</v>
      </c>
      <c r="F100" s="40"/>
      <c r="G100" s="5"/>
      <c r="H100" s="5">
        <v>23.38</v>
      </c>
      <c r="I100" s="5">
        <f>100/30*38</f>
        <v>126.66666666666667</v>
      </c>
      <c r="J100" s="5">
        <v>155</v>
      </c>
      <c r="K100" s="5"/>
      <c r="L100" s="6">
        <v>220</v>
      </c>
      <c r="M100" s="61">
        <v>100</v>
      </c>
      <c r="N100" s="6">
        <v>90.75</v>
      </c>
    </row>
    <row r="101" spans="1:14">
      <c r="A101" s="44" t="s">
        <v>185</v>
      </c>
      <c r="B101" s="44"/>
      <c r="C101" s="4">
        <v>44830</v>
      </c>
      <c r="D101" s="4">
        <v>44852</v>
      </c>
      <c r="E101" s="4">
        <v>44858</v>
      </c>
      <c r="F101" s="10" t="s">
        <v>161</v>
      </c>
      <c r="G101" s="12">
        <v>12.5</v>
      </c>
      <c r="H101" s="5">
        <v>23.38</v>
      </c>
      <c r="I101" s="5">
        <f>54.5/30*6</f>
        <v>10.9</v>
      </c>
      <c r="J101" s="5">
        <v>95</v>
      </c>
      <c r="K101" s="5"/>
      <c r="L101" s="6">
        <v>140</v>
      </c>
      <c r="M101" s="61">
        <v>55.5</v>
      </c>
      <c r="N101" s="6">
        <f>12.5+(127.5-55.5)*0.7</f>
        <v>62.9</v>
      </c>
    </row>
    <row r="102" spans="1:14">
      <c r="A102" s="44" t="s">
        <v>190</v>
      </c>
      <c r="B102" s="44"/>
      <c r="C102" s="4"/>
      <c r="D102" s="4">
        <v>44879</v>
      </c>
      <c r="E102" s="35">
        <v>44887</v>
      </c>
      <c r="F102" s="44" t="s">
        <v>161</v>
      </c>
      <c r="G102" s="56">
        <v>10</v>
      </c>
      <c r="H102" s="5">
        <v>14.6</v>
      </c>
      <c r="I102" s="5">
        <f>34/30*8</f>
        <v>9.0666666666666664</v>
      </c>
      <c r="J102" s="5">
        <v>45</v>
      </c>
      <c r="K102" s="5"/>
      <c r="L102" s="6">
        <v>90</v>
      </c>
      <c r="M102" s="61">
        <v>34</v>
      </c>
      <c r="N102" s="56">
        <f>10+(80-34)*0.7</f>
        <v>42.199999999999996</v>
      </c>
    </row>
    <row r="103" spans="1:14">
      <c r="A103" s="44" t="s">
        <v>193</v>
      </c>
      <c r="B103" s="44"/>
      <c r="C103" s="4">
        <v>44872</v>
      </c>
      <c r="D103" s="4">
        <v>44879</v>
      </c>
      <c r="E103" s="35">
        <v>44882</v>
      </c>
      <c r="F103" s="40"/>
      <c r="G103" s="5"/>
      <c r="H103" s="5">
        <v>10.039999999999999</v>
      </c>
      <c r="I103" s="5">
        <f>25/30*3</f>
        <v>2.5</v>
      </c>
      <c r="J103" s="5"/>
      <c r="K103" s="5"/>
      <c r="L103" s="6">
        <v>40</v>
      </c>
      <c r="M103" s="61">
        <v>25</v>
      </c>
      <c r="N103" s="6">
        <f>(L103-M103)*0.7</f>
        <v>10.5</v>
      </c>
    </row>
    <row r="104" spans="1:14">
      <c r="A104" s="44" t="s">
        <v>213</v>
      </c>
      <c r="B104" s="44"/>
      <c r="C104" s="4">
        <v>44894</v>
      </c>
      <c r="D104" s="4">
        <v>44908</v>
      </c>
      <c r="E104" s="35">
        <v>44944</v>
      </c>
      <c r="F104" s="40" t="s">
        <v>161</v>
      </c>
      <c r="G104" s="5">
        <v>15</v>
      </c>
      <c r="H104" s="5">
        <v>31.72</v>
      </c>
      <c r="I104" s="5">
        <f>50/30*35</f>
        <v>58.333333333333336</v>
      </c>
      <c r="J104" s="5">
        <f>60+50</f>
        <v>110</v>
      </c>
      <c r="K104" s="5"/>
      <c r="L104" s="6">
        <v>130</v>
      </c>
      <c r="M104" s="61">
        <f>19+2+3.5*2+11*2</f>
        <v>50</v>
      </c>
      <c r="N104" s="94">
        <f>15+(L104-M104-15)*0.7</f>
        <v>60.5</v>
      </c>
    </row>
    <row r="105" spans="1:14">
      <c r="A105" s="44" t="s">
        <v>227</v>
      </c>
      <c r="B105" s="44"/>
      <c r="C105" s="4">
        <v>44949</v>
      </c>
      <c r="D105" s="4">
        <v>44953</v>
      </c>
      <c r="E105" s="35">
        <v>44966</v>
      </c>
      <c r="F105" s="40" t="s">
        <v>160</v>
      </c>
      <c r="G105" s="5">
        <v>15</v>
      </c>
      <c r="H105" s="5">
        <v>16.38</v>
      </c>
      <c r="I105" s="5">
        <f>61.5/30*12</f>
        <v>24.599999999999998</v>
      </c>
      <c r="J105" s="5">
        <f>50+60</f>
        <v>110</v>
      </c>
      <c r="K105" s="5"/>
      <c r="L105" s="6">
        <v>160</v>
      </c>
      <c r="M105" s="65">
        <f>32.5+7+22</f>
        <v>61.5</v>
      </c>
      <c r="N105" s="59">
        <f>15+(L105-M105-15)*0.7</f>
        <v>73.449999999999989</v>
      </c>
    </row>
    <row r="106" spans="1:14">
      <c r="A106" s="44" t="s">
        <v>228</v>
      </c>
      <c r="B106" s="44"/>
      <c r="C106" s="4">
        <v>44957</v>
      </c>
      <c r="D106" s="4">
        <v>44957</v>
      </c>
      <c r="E106" s="35">
        <v>44977</v>
      </c>
      <c r="F106" s="40"/>
      <c r="G106" s="5"/>
      <c r="H106" s="5">
        <v>20.61</v>
      </c>
      <c r="I106" s="5">
        <f>66/30*20</f>
        <v>44</v>
      </c>
      <c r="J106" s="5">
        <v>90</v>
      </c>
      <c r="K106" s="5"/>
      <c r="L106" s="6">
        <v>155</v>
      </c>
      <c r="M106" s="65">
        <v>54</v>
      </c>
      <c r="N106" s="59">
        <f>(L106-M106)*0.7</f>
        <v>70.699999999999989</v>
      </c>
    </row>
    <row r="107" spans="1:14">
      <c r="A107" s="44" t="s">
        <v>255</v>
      </c>
      <c r="B107" s="44"/>
      <c r="C107" s="35">
        <v>44691</v>
      </c>
      <c r="D107" s="35">
        <v>44994</v>
      </c>
      <c r="E107" s="4">
        <v>44994</v>
      </c>
      <c r="F107" s="40"/>
      <c r="G107" s="40"/>
      <c r="H107" s="5">
        <v>11.03</v>
      </c>
      <c r="I107" s="40">
        <f>25*14</f>
        <v>350</v>
      </c>
      <c r="J107" s="40">
        <f>30+50</f>
        <v>80</v>
      </c>
      <c r="K107" s="40"/>
      <c r="L107" s="6">
        <v>90</v>
      </c>
      <c r="M107" s="6">
        <v>25</v>
      </c>
      <c r="N107" s="59">
        <v>48.5</v>
      </c>
    </row>
    <row r="108" spans="1:14">
      <c r="A108" s="44" t="s">
        <v>187</v>
      </c>
      <c r="B108" s="44"/>
      <c r="C108" s="35"/>
      <c r="D108" s="35">
        <v>44991</v>
      </c>
      <c r="E108" s="4">
        <v>44991</v>
      </c>
      <c r="F108" s="40"/>
      <c r="G108" s="40"/>
      <c r="H108" s="5">
        <v>13.31</v>
      </c>
      <c r="I108" s="40"/>
      <c r="J108" s="40">
        <v>45</v>
      </c>
      <c r="K108" s="40"/>
      <c r="L108" s="6">
        <v>80</v>
      </c>
      <c r="M108" s="6">
        <v>27</v>
      </c>
      <c r="N108" s="59">
        <f>(L108-M108)*0.7</f>
        <v>37.099999999999994</v>
      </c>
    </row>
    <row r="109" spans="1:14">
      <c r="A109" s="76" t="s">
        <v>276</v>
      </c>
      <c r="B109" s="44"/>
      <c r="C109" s="35">
        <v>45061</v>
      </c>
      <c r="D109" s="35">
        <v>45070</v>
      </c>
      <c r="E109" s="4"/>
      <c r="F109" s="40"/>
      <c r="G109" s="40"/>
      <c r="H109" s="5">
        <v>11.48</v>
      </c>
      <c r="I109" s="40">
        <f>21/30*9</f>
        <v>6.3</v>
      </c>
      <c r="J109" s="40"/>
      <c r="K109" s="40"/>
      <c r="L109" s="17">
        <f>50</f>
        <v>50</v>
      </c>
      <c r="M109" s="18">
        <v>21</v>
      </c>
      <c r="N109" s="70">
        <f>(50-21)*0.7</f>
        <v>20.299999999999997</v>
      </c>
    </row>
    <row r="110" spans="1:14">
      <c r="A110" s="76" t="s">
        <v>279</v>
      </c>
      <c r="B110" s="44"/>
      <c r="C110" s="35">
        <v>45065</v>
      </c>
      <c r="D110" s="35">
        <v>45070</v>
      </c>
      <c r="E110" s="4"/>
      <c r="F110" s="40"/>
      <c r="G110" s="40"/>
      <c r="H110" s="5">
        <v>11.48</v>
      </c>
      <c r="I110" s="40">
        <f>21/30*5</f>
        <v>3.5</v>
      </c>
      <c r="J110" s="40"/>
      <c r="K110" s="40"/>
      <c r="L110" s="17">
        <f>50</f>
        <v>50</v>
      </c>
      <c r="M110" s="18">
        <v>21</v>
      </c>
      <c r="N110" s="70">
        <f>(50-21)*0.7</f>
        <v>20.299999999999997</v>
      </c>
    </row>
    <row r="111" spans="1:14">
      <c r="A111" s="76" t="s">
        <v>278</v>
      </c>
      <c r="B111" s="52"/>
      <c r="C111" s="57">
        <v>44973</v>
      </c>
      <c r="D111" s="57">
        <v>45070</v>
      </c>
      <c r="E111" s="24"/>
      <c r="F111" s="48"/>
      <c r="G111" s="48"/>
      <c r="H111" s="25">
        <v>11.48</v>
      </c>
      <c r="I111" s="48">
        <f>21/30*98</f>
        <v>68.599999999999994</v>
      </c>
      <c r="J111" s="48"/>
      <c r="K111" s="48"/>
      <c r="L111" s="17">
        <v>50</v>
      </c>
      <c r="M111" s="26">
        <v>21</v>
      </c>
      <c r="N111" s="85">
        <f>(50-21)*0.7</f>
        <v>20.299999999999997</v>
      </c>
    </row>
    <row r="112" spans="1:14">
      <c r="A112" s="44" t="s">
        <v>289</v>
      </c>
      <c r="B112" s="44"/>
      <c r="C112" s="35">
        <v>45110</v>
      </c>
      <c r="D112" s="35">
        <v>45127</v>
      </c>
      <c r="E112" s="4">
        <v>45110</v>
      </c>
      <c r="F112" s="40"/>
      <c r="G112" s="40"/>
      <c r="H112" s="5">
        <v>13.31</v>
      </c>
      <c r="I112" s="40">
        <f>27/30*17</f>
        <v>15.3</v>
      </c>
      <c r="J112" s="40">
        <v>45</v>
      </c>
      <c r="K112" s="40"/>
      <c r="L112" s="6">
        <v>75</v>
      </c>
      <c r="M112" s="6">
        <v>27</v>
      </c>
      <c r="N112" s="59">
        <f>(L112-M112)*0.7</f>
        <v>33.599999999999994</v>
      </c>
    </row>
    <row r="113" spans="1:14">
      <c r="A113" s="44" t="s">
        <v>292</v>
      </c>
      <c r="B113" s="44"/>
      <c r="C113" s="35">
        <v>45138</v>
      </c>
      <c r="D113" s="35">
        <v>45139</v>
      </c>
      <c r="E113" s="35">
        <v>45162</v>
      </c>
      <c r="F113" s="40"/>
      <c r="G113" s="40"/>
      <c r="H113" s="5">
        <v>12.48</v>
      </c>
      <c r="I113" s="40">
        <f>27/30*23</f>
        <v>20.7</v>
      </c>
      <c r="J113" s="40">
        <v>45</v>
      </c>
      <c r="K113" s="40"/>
      <c r="L113" s="6">
        <v>90</v>
      </c>
      <c r="M113" s="6">
        <v>27</v>
      </c>
      <c r="N113" s="59">
        <f>(L113-M113)*0.7</f>
        <v>44.099999999999994</v>
      </c>
    </row>
    <row r="114" spans="1:14">
      <c r="A114" s="44" t="s">
        <v>293</v>
      </c>
      <c r="B114" s="44"/>
      <c r="C114" s="35">
        <v>45086</v>
      </c>
      <c r="D114" s="35">
        <v>45089</v>
      </c>
      <c r="E114" s="4">
        <v>45103</v>
      </c>
      <c r="F114" s="40"/>
      <c r="G114" s="40"/>
      <c r="H114" s="5">
        <v>11.03</v>
      </c>
      <c r="I114" s="40">
        <f>21/30*14</f>
        <v>9.7999999999999989</v>
      </c>
      <c r="J114" s="40"/>
      <c r="K114" s="40"/>
      <c r="L114" s="6">
        <v>50</v>
      </c>
      <c r="M114" s="6">
        <v>21</v>
      </c>
      <c r="N114" s="59">
        <f>(L114-M114)*0.7</f>
        <v>20.299999999999997</v>
      </c>
    </row>
    <row r="115" spans="1:14">
      <c r="C115" s="36"/>
      <c r="D115" s="36"/>
      <c r="F115" s="28"/>
      <c r="G115" s="28"/>
      <c r="H115" s="30"/>
      <c r="I115" s="28"/>
      <c r="M115" s="61" t="s">
        <v>4</v>
      </c>
      <c r="N115" s="6">
        <f>SUM(N2:N114)</f>
        <v>4318.8100000000022</v>
      </c>
    </row>
    <row r="116" spans="1:14">
      <c r="C116" s="36"/>
      <c r="D116" s="36"/>
      <c r="F116" s="28"/>
      <c r="G116" s="28"/>
      <c r="H116" s="30"/>
      <c r="I116" s="28"/>
      <c r="M116" s="61" t="s">
        <v>251</v>
      </c>
      <c r="N116" s="6">
        <f>N115-172.62+128.8</f>
        <v>4274.9900000000025</v>
      </c>
    </row>
    <row r="117" spans="1:14">
      <c r="C117" s="36"/>
      <c r="D117" s="36"/>
      <c r="F117" s="28"/>
      <c r="G117" s="28"/>
      <c r="H117" s="30"/>
      <c r="I117" s="28"/>
    </row>
    <row r="119" spans="1:14">
      <c r="A119" s="28"/>
      <c r="B119" s="28"/>
      <c r="E119" s="15"/>
      <c r="F119" s="1"/>
      <c r="G119" s="1"/>
      <c r="H119" s="1"/>
      <c r="I119" s="1"/>
      <c r="J119" s="1"/>
      <c r="K119" s="1"/>
      <c r="L119" s="1"/>
      <c r="M119" s="1"/>
      <c r="N119" s="29">
        <v>292.54000000000002</v>
      </c>
    </row>
    <row r="120" spans="1:14">
      <c r="L120" s="1"/>
      <c r="M120" s="1"/>
    </row>
    <row r="121" spans="1:14">
      <c r="H121" s="30"/>
      <c r="L121" s="1"/>
      <c r="M121"/>
    </row>
    <row r="122" spans="1:14">
      <c r="I122" s="42"/>
      <c r="M122"/>
    </row>
  </sheetData>
  <autoFilter ref="A1:P118">
    <sortState ref="A2:P106">
      <sortCondition ref="B1:B106"/>
    </sortState>
  </autoFilter>
  <pageMargins left="0.7" right="0.7" top="0.75" bottom="0.75" header="0.3" footer="0.3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>
  <dimension ref="A1:P125"/>
  <sheetViews>
    <sheetView topLeftCell="B111" workbookViewId="0">
      <selection activeCell="N125" sqref="N125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3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5"/>
      <c r="J2" s="5"/>
      <c r="K2" s="5">
        <f>F2+H2+J2</f>
        <v>10</v>
      </c>
      <c r="L2" s="6">
        <v>40</v>
      </c>
      <c r="M2" s="61">
        <v>25</v>
      </c>
      <c r="N2" s="6">
        <f t="shared" ref="N2:N34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5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5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9" t="s">
        <v>18</v>
      </c>
      <c r="B5" s="9"/>
      <c r="C5" s="2"/>
      <c r="D5" s="2"/>
      <c r="E5" s="4">
        <v>42335</v>
      </c>
      <c r="F5" s="5"/>
      <c r="G5" s="49"/>
      <c r="H5" s="5"/>
      <c r="I5" s="5"/>
      <c r="J5" s="5"/>
      <c r="K5" s="5"/>
      <c r="L5" s="6">
        <v>90</v>
      </c>
      <c r="M5" s="61">
        <v>25</v>
      </c>
      <c r="N5" s="6">
        <f t="shared" si="0"/>
        <v>45.5</v>
      </c>
    </row>
    <row r="6" spans="1:15">
      <c r="A6" s="2" t="s">
        <v>16</v>
      </c>
      <c r="B6" s="2"/>
      <c r="C6" s="2"/>
      <c r="D6" s="2"/>
      <c r="E6" s="4">
        <v>42396</v>
      </c>
      <c r="F6" s="5"/>
      <c r="G6" s="49"/>
      <c r="H6" s="5"/>
      <c r="I6" s="5"/>
      <c r="J6" s="5"/>
      <c r="K6" s="5"/>
      <c r="L6" s="6">
        <v>50</v>
      </c>
      <c r="M6" s="61">
        <v>22</v>
      </c>
      <c r="N6" s="6">
        <f t="shared" si="0"/>
        <v>19.599999999999998</v>
      </c>
    </row>
    <row r="7" spans="1:15">
      <c r="A7" s="2" t="s">
        <v>22</v>
      </c>
      <c r="B7" s="2"/>
      <c r="C7" s="4">
        <v>42546</v>
      </c>
      <c r="D7" s="4"/>
      <c r="E7" s="4">
        <v>42571</v>
      </c>
      <c r="F7" s="5"/>
      <c r="G7" s="49"/>
      <c r="H7" s="5">
        <f>6.9+8.5</f>
        <v>15.4</v>
      </c>
      <c r="I7" s="5">
        <f>25*25/30</f>
        <v>20.833333333333332</v>
      </c>
      <c r="J7" s="5"/>
      <c r="K7" s="5"/>
      <c r="L7" s="6">
        <v>120</v>
      </c>
      <c r="M7" s="61">
        <v>25</v>
      </c>
      <c r="N7" s="6">
        <f t="shared" si="0"/>
        <v>66.5</v>
      </c>
    </row>
    <row r="8" spans="1:15">
      <c r="A8" s="2" t="s">
        <v>23</v>
      </c>
      <c r="B8" s="2"/>
      <c r="C8" s="4">
        <v>42560</v>
      </c>
      <c r="D8" s="4"/>
      <c r="E8" s="4">
        <v>42571</v>
      </c>
      <c r="F8" s="5"/>
      <c r="G8" s="49"/>
      <c r="H8" s="5">
        <v>8.5</v>
      </c>
      <c r="I8" s="5">
        <f>25*41/30</f>
        <v>34.166666666666664</v>
      </c>
      <c r="J8" s="5"/>
      <c r="K8" s="5"/>
      <c r="L8" s="6">
        <v>107.5</v>
      </c>
      <c r="M8" s="61">
        <v>25</v>
      </c>
      <c r="N8" s="6">
        <f t="shared" si="0"/>
        <v>57.749999999999993</v>
      </c>
    </row>
    <row r="9" spans="1:15">
      <c r="A9" s="2" t="s">
        <v>24</v>
      </c>
      <c r="B9" s="2"/>
      <c r="C9" s="4">
        <v>42530</v>
      </c>
      <c r="D9" s="4"/>
      <c r="E9" s="4">
        <v>42579</v>
      </c>
      <c r="F9" s="5"/>
      <c r="G9" s="49"/>
      <c r="H9" s="5">
        <f>8.5+6.9</f>
        <v>15.4</v>
      </c>
      <c r="I9" s="5">
        <f>25*52/30</f>
        <v>43.333333333333336</v>
      </c>
      <c r="J9" s="5"/>
      <c r="K9" s="5"/>
      <c r="L9" s="6">
        <v>90</v>
      </c>
      <c r="M9" s="61">
        <v>25</v>
      </c>
      <c r="N9" s="6">
        <f t="shared" si="0"/>
        <v>45.5</v>
      </c>
    </row>
    <row r="10" spans="1:15">
      <c r="A10" s="2" t="s">
        <v>26</v>
      </c>
      <c r="B10" s="2"/>
      <c r="C10" s="4">
        <v>42633</v>
      </c>
      <c r="D10" s="4"/>
      <c r="E10" s="4">
        <v>42644</v>
      </c>
      <c r="F10" s="5"/>
      <c r="G10" s="49"/>
      <c r="H10" s="5">
        <v>8.17</v>
      </c>
      <c r="I10" s="5">
        <f>25/30*10</f>
        <v>8.3333333333333339</v>
      </c>
      <c r="J10" s="5"/>
      <c r="K10" s="5"/>
      <c r="L10" s="6">
        <v>70</v>
      </c>
      <c r="M10" s="61">
        <v>25</v>
      </c>
      <c r="N10" s="6">
        <f t="shared" si="0"/>
        <v>31.499999999999996</v>
      </c>
    </row>
    <row r="11" spans="1:15">
      <c r="A11" s="2" t="s">
        <v>27</v>
      </c>
      <c r="B11" s="2"/>
      <c r="C11" s="4">
        <v>42656</v>
      </c>
      <c r="D11" s="4"/>
      <c r="E11" s="4">
        <v>42705</v>
      </c>
      <c r="F11" s="5"/>
      <c r="G11" s="49"/>
      <c r="H11" s="5">
        <v>8.17</v>
      </c>
      <c r="I11" s="5">
        <f>M11/30*47</f>
        <v>39.166666666666671</v>
      </c>
      <c r="J11" s="5"/>
      <c r="K11" s="5"/>
      <c r="L11" s="6">
        <v>40</v>
      </c>
      <c r="M11" s="62">
        <v>25</v>
      </c>
      <c r="N11" s="18">
        <f t="shared" si="0"/>
        <v>10.5</v>
      </c>
    </row>
    <row r="12" spans="1:15">
      <c r="A12" s="2" t="s">
        <v>29</v>
      </c>
      <c r="B12" s="2"/>
      <c r="C12" s="4">
        <v>42683</v>
      </c>
      <c r="D12" s="4"/>
      <c r="E12" s="4">
        <v>42718</v>
      </c>
      <c r="F12" s="5"/>
      <c r="G12" s="49"/>
      <c r="H12" s="5">
        <v>8.9700000000000006</v>
      </c>
      <c r="I12" s="5">
        <f>M12/30*35</f>
        <v>42</v>
      </c>
      <c r="J12" s="5"/>
      <c r="K12" s="5"/>
      <c r="L12" s="6">
        <f>105</f>
        <v>105</v>
      </c>
      <c r="M12" s="62">
        <v>36</v>
      </c>
      <c r="N12" s="18">
        <f t="shared" si="0"/>
        <v>48.3</v>
      </c>
    </row>
    <row r="13" spans="1:15">
      <c r="A13" s="2" t="s">
        <v>28</v>
      </c>
      <c r="B13" s="2"/>
      <c r="C13" s="4">
        <v>42711</v>
      </c>
      <c r="D13" s="4"/>
      <c r="E13" s="4">
        <v>42734</v>
      </c>
      <c r="F13" s="5"/>
      <c r="G13" s="49"/>
      <c r="H13" s="5">
        <v>8.17</v>
      </c>
      <c r="I13" s="5">
        <f>M13/30*23</f>
        <v>19.166666666666668</v>
      </c>
      <c r="J13" s="5"/>
      <c r="K13" s="5"/>
      <c r="L13" s="6">
        <v>40</v>
      </c>
      <c r="M13" s="62">
        <v>25</v>
      </c>
      <c r="N13" s="18">
        <f t="shared" si="0"/>
        <v>10.5</v>
      </c>
    </row>
    <row r="14" spans="1:15">
      <c r="A14" s="2" t="s">
        <v>30</v>
      </c>
      <c r="B14" s="2"/>
      <c r="C14" s="4">
        <v>42732</v>
      </c>
      <c r="D14" s="4"/>
      <c r="E14" s="4">
        <v>42759</v>
      </c>
      <c r="F14" s="5"/>
      <c r="G14" s="49"/>
      <c r="H14" s="5">
        <v>18.8</v>
      </c>
      <c r="I14" s="5">
        <f>M14/30*27</f>
        <v>23.400000000000002</v>
      </c>
      <c r="J14" s="5"/>
      <c r="K14" s="5"/>
      <c r="L14" s="6">
        <v>90</v>
      </c>
      <c r="M14" s="62">
        <v>26</v>
      </c>
      <c r="N14" s="18">
        <f t="shared" si="0"/>
        <v>44.8</v>
      </c>
    </row>
    <row r="15" spans="1:15">
      <c r="A15" s="2" t="s">
        <v>31</v>
      </c>
      <c r="B15" s="2"/>
      <c r="C15" s="4">
        <v>42735</v>
      </c>
      <c r="D15" s="4"/>
      <c r="E15" s="4">
        <v>42782</v>
      </c>
      <c r="F15" s="5">
        <v>50</v>
      </c>
      <c r="G15" s="49"/>
      <c r="H15" s="5">
        <v>20.63</v>
      </c>
      <c r="I15" s="5">
        <f>M15/30*46</f>
        <v>42.933333333333337</v>
      </c>
      <c r="J15" s="5"/>
      <c r="K15" s="5"/>
      <c r="L15" s="6">
        <v>92</v>
      </c>
      <c r="M15" s="61">
        <v>28</v>
      </c>
      <c r="N15" s="6">
        <f t="shared" si="0"/>
        <v>44.8</v>
      </c>
    </row>
    <row r="16" spans="1:15">
      <c r="A16" s="2" t="s">
        <v>32</v>
      </c>
      <c r="B16" s="2"/>
      <c r="C16" s="4">
        <v>42857</v>
      </c>
      <c r="D16" s="4"/>
      <c r="E16" s="4">
        <v>42866</v>
      </c>
      <c r="F16" s="5"/>
      <c r="G16" s="49"/>
      <c r="H16" s="5"/>
      <c r="I16" s="5">
        <f>23/30*9</f>
        <v>6.9</v>
      </c>
      <c r="J16" s="5">
        <f>60*0.7</f>
        <v>42</v>
      </c>
      <c r="K16" s="5"/>
      <c r="L16" s="6">
        <v>60</v>
      </c>
      <c r="M16" s="61">
        <v>23</v>
      </c>
      <c r="N16" s="6">
        <f t="shared" si="0"/>
        <v>25.9</v>
      </c>
    </row>
    <row r="17" spans="1:15">
      <c r="A17" s="2" t="s">
        <v>37</v>
      </c>
      <c r="B17" s="2"/>
      <c r="C17" s="4">
        <v>42891</v>
      </c>
      <c r="D17" s="4"/>
      <c r="E17" s="4">
        <v>42915</v>
      </c>
      <c r="F17" s="5"/>
      <c r="G17" s="49"/>
      <c r="H17" s="5">
        <v>6.83</v>
      </c>
      <c r="I17" s="5">
        <f>24/30*24</f>
        <v>19.200000000000003</v>
      </c>
      <c r="J17" s="5"/>
      <c r="K17" s="5"/>
      <c r="L17" s="6">
        <v>70</v>
      </c>
      <c r="M17" s="61">
        <v>24</v>
      </c>
      <c r="N17" s="6">
        <f t="shared" si="0"/>
        <v>32.199999999999996</v>
      </c>
    </row>
    <row r="18" spans="1:15">
      <c r="A18" s="2" t="s">
        <v>39</v>
      </c>
      <c r="B18" s="2"/>
      <c r="C18" s="4">
        <v>43081</v>
      </c>
      <c r="D18" s="4"/>
      <c r="E18" s="4">
        <v>43109</v>
      </c>
      <c r="F18" s="5"/>
      <c r="G18" s="49"/>
      <c r="H18" s="5">
        <v>9.83</v>
      </c>
      <c r="I18" s="5">
        <f>36/30*28</f>
        <v>33.6</v>
      </c>
      <c r="J18" s="5"/>
      <c r="K18" s="5"/>
      <c r="L18" s="6">
        <v>120</v>
      </c>
      <c r="M18" s="61">
        <v>36</v>
      </c>
      <c r="N18" s="6">
        <f t="shared" si="0"/>
        <v>58.8</v>
      </c>
    </row>
    <row r="19" spans="1:15">
      <c r="A19" s="22" t="s">
        <v>56</v>
      </c>
      <c r="B19" s="22"/>
      <c r="C19" s="4">
        <v>43361</v>
      </c>
      <c r="D19" s="4"/>
      <c r="E19" s="4">
        <v>43132</v>
      </c>
      <c r="F19" s="5"/>
      <c r="G19" s="49"/>
      <c r="H19" s="5">
        <v>14.11</v>
      </c>
      <c r="I19" s="5">
        <f>25*4+25/30*12</f>
        <v>110</v>
      </c>
      <c r="J19" s="5"/>
      <c r="K19" s="5"/>
      <c r="L19" s="6">
        <v>75</v>
      </c>
      <c r="M19" s="61">
        <v>25</v>
      </c>
      <c r="N19" s="6">
        <f t="shared" si="0"/>
        <v>35</v>
      </c>
    </row>
    <row r="20" spans="1:15">
      <c r="A20" s="2" t="s">
        <v>40</v>
      </c>
      <c r="B20" s="2"/>
      <c r="C20" s="4">
        <v>43106</v>
      </c>
      <c r="D20" s="4"/>
      <c r="E20" s="4">
        <v>43146</v>
      </c>
      <c r="F20" s="5"/>
      <c r="G20" s="49"/>
      <c r="H20" s="5">
        <v>8.2899999999999991</v>
      </c>
      <c r="I20" s="5">
        <f>25/30*39</f>
        <v>32.5</v>
      </c>
      <c r="J20" s="5"/>
      <c r="K20" s="5"/>
      <c r="L20" s="6">
        <v>70</v>
      </c>
      <c r="M20" s="61">
        <v>26</v>
      </c>
      <c r="N20" s="6">
        <f t="shared" si="0"/>
        <v>30.799999999999997</v>
      </c>
    </row>
    <row r="21" spans="1:15">
      <c r="A21" s="2" t="s">
        <v>44</v>
      </c>
      <c r="B21" s="2"/>
      <c r="C21" s="4">
        <v>43196</v>
      </c>
      <c r="D21" s="4"/>
      <c r="E21" s="4">
        <v>43250</v>
      </c>
      <c r="F21" s="5"/>
      <c r="G21" s="49"/>
      <c r="H21" s="5">
        <v>13.78</v>
      </c>
      <c r="I21" s="5">
        <f>25*24/30+25</f>
        <v>45</v>
      </c>
      <c r="J21" s="5"/>
      <c r="K21" s="5"/>
      <c r="L21" s="6">
        <v>11</v>
      </c>
      <c r="M21" s="61">
        <v>25</v>
      </c>
      <c r="N21" s="6">
        <v>9.7999999999999989</v>
      </c>
    </row>
    <row r="22" spans="1:15">
      <c r="A22" s="22" t="s">
        <v>47</v>
      </c>
      <c r="B22" s="22"/>
      <c r="C22" s="4">
        <v>43355</v>
      </c>
      <c r="D22" s="4"/>
      <c r="E22" s="4">
        <v>43277</v>
      </c>
      <c r="F22" s="5"/>
      <c r="G22" s="49"/>
      <c r="H22" s="5">
        <v>19.98</v>
      </c>
      <c r="I22" s="5">
        <f>36*2+36/30*16</f>
        <v>91.2</v>
      </c>
      <c r="J22" s="5"/>
      <c r="K22" s="5"/>
      <c r="L22" s="6">
        <v>105</v>
      </c>
      <c r="M22" s="61">
        <v>36</v>
      </c>
      <c r="N22" s="6">
        <f t="shared" si="0"/>
        <v>48.3</v>
      </c>
    </row>
    <row r="23" spans="1:15">
      <c r="A23" s="22" t="s">
        <v>48</v>
      </c>
      <c r="B23" s="22"/>
      <c r="C23" s="4">
        <v>43367</v>
      </c>
      <c r="D23" s="4"/>
      <c r="E23" s="4">
        <v>43284</v>
      </c>
      <c r="F23" s="5"/>
      <c r="G23" s="49"/>
      <c r="H23" s="5">
        <v>9.1</v>
      </c>
      <c r="I23" s="5">
        <f>25+25/30*27</f>
        <v>47.5</v>
      </c>
      <c r="J23" s="5"/>
      <c r="K23" s="5"/>
      <c r="L23" s="6">
        <v>75</v>
      </c>
      <c r="M23" s="61">
        <v>25</v>
      </c>
      <c r="N23" s="6">
        <f t="shared" si="0"/>
        <v>35</v>
      </c>
    </row>
    <row r="24" spans="1:15">
      <c r="A24" s="2" t="s">
        <v>45</v>
      </c>
      <c r="B24" s="2"/>
      <c r="C24" s="4"/>
      <c r="D24" s="4"/>
      <c r="E24" s="4">
        <v>43286</v>
      </c>
      <c r="F24" s="5"/>
      <c r="G24" s="49"/>
      <c r="H24" s="5">
        <v>11.56</v>
      </c>
      <c r="I24" s="5"/>
      <c r="J24" s="5"/>
      <c r="K24" s="5"/>
      <c r="L24" s="6">
        <v>150</v>
      </c>
      <c r="M24" s="61">
        <v>76</v>
      </c>
      <c r="N24" s="6">
        <f t="shared" si="0"/>
        <v>51.8</v>
      </c>
      <c r="O24" s="20"/>
    </row>
    <row r="25" spans="1:15">
      <c r="A25" s="22" t="s">
        <v>49</v>
      </c>
      <c r="B25" s="22"/>
      <c r="C25" s="4">
        <v>43367</v>
      </c>
      <c r="D25" s="4"/>
      <c r="E25" s="4">
        <v>43291</v>
      </c>
      <c r="F25" s="5"/>
      <c r="G25" s="49"/>
      <c r="H25" s="5">
        <v>10.039999999999999</v>
      </c>
      <c r="I25" s="5">
        <f>50+25/30*14</f>
        <v>61.666666666666671</v>
      </c>
      <c r="J25" s="5"/>
      <c r="K25" s="5"/>
      <c r="L25" s="6">
        <v>50</v>
      </c>
      <c r="M25" s="61">
        <v>22</v>
      </c>
      <c r="N25" s="18">
        <f t="shared" si="0"/>
        <v>19.599999999999998</v>
      </c>
    </row>
    <row r="26" spans="1:15">
      <c r="A26" s="22" t="s">
        <v>51</v>
      </c>
      <c r="B26" s="22"/>
      <c r="C26" s="4">
        <v>43358</v>
      </c>
      <c r="D26" s="4"/>
      <c r="E26" s="4">
        <v>43291</v>
      </c>
      <c r="F26" s="5"/>
      <c r="G26" s="49"/>
      <c r="H26" s="5">
        <v>10.039999999999999</v>
      </c>
      <c r="I26" s="5">
        <f>50+25/30*5</f>
        <v>54.166666666666664</v>
      </c>
      <c r="J26" s="5"/>
      <c r="K26" s="5"/>
      <c r="L26" s="6">
        <v>75</v>
      </c>
      <c r="M26" s="61">
        <v>25</v>
      </c>
      <c r="N26" s="6">
        <f t="shared" si="0"/>
        <v>35</v>
      </c>
    </row>
    <row r="27" spans="1:15">
      <c r="A27" s="22" t="s">
        <v>52</v>
      </c>
      <c r="B27" s="22"/>
      <c r="C27" s="4">
        <v>43367</v>
      </c>
      <c r="D27" s="4"/>
      <c r="E27" s="4">
        <v>43308</v>
      </c>
      <c r="F27" s="5"/>
      <c r="G27" s="49"/>
      <c r="H27" s="5">
        <v>10.86</v>
      </c>
      <c r="I27" s="5">
        <f>25+25/30*27</f>
        <v>47.5</v>
      </c>
      <c r="J27" s="5"/>
      <c r="K27" s="5"/>
      <c r="L27" s="6">
        <v>75</v>
      </c>
      <c r="M27" s="61">
        <v>25</v>
      </c>
      <c r="N27" s="27">
        <f t="shared" si="0"/>
        <v>35</v>
      </c>
    </row>
    <row r="28" spans="1:15">
      <c r="A28" s="22" t="s">
        <v>50</v>
      </c>
      <c r="B28" s="22"/>
      <c r="C28" s="4">
        <v>43367</v>
      </c>
      <c r="D28" s="4"/>
      <c r="E28" s="4">
        <v>43312</v>
      </c>
      <c r="F28" s="5"/>
      <c r="G28" s="49"/>
      <c r="H28" s="5">
        <v>10.86</v>
      </c>
      <c r="I28" s="5">
        <f>25+25/30*24</f>
        <v>45</v>
      </c>
      <c r="J28" s="5"/>
      <c r="K28" s="5"/>
      <c r="L28" s="6">
        <v>70</v>
      </c>
      <c r="M28" s="61">
        <v>25</v>
      </c>
      <c r="N28" s="6">
        <f t="shared" si="0"/>
        <v>31.499999999999996</v>
      </c>
    </row>
    <row r="29" spans="1:15">
      <c r="A29" s="22" t="s">
        <v>55</v>
      </c>
      <c r="B29" s="22"/>
      <c r="C29" s="4">
        <v>43363</v>
      </c>
      <c r="D29" s="4"/>
      <c r="E29" s="4">
        <v>43440</v>
      </c>
      <c r="F29" s="5"/>
      <c r="G29" s="49"/>
      <c r="H29" s="5">
        <v>14.11</v>
      </c>
      <c r="I29" s="5">
        <f>25*2+25*16/30</f>
        <v>63.333333333333336</v>
      </c>
      <c r="J29" s="5"/>
      <c r="K29" s="5"/>
      <c r="L29" s="6">
        <v>75</v>
      </c>
      <c r="M29" s="61">
        <v>25</v>
      </c>
      <c r="N29" s="6">
        <f t="shared" si="0"/>
        <v>35</v>
      </c>
    </row>
    <row r="30" spans="1:15">
      <c r="A30" s="22" t="s">
        <v>54</v>
      </c>
      <c r="B30" s="22"/>
      <c r="C30" s="4">
        <v>43167</v>
      </c>
      <c r="D30" s="4"/>
      <c r="E30" s="4">
        <v>43455</v>
      </c>
      <c r="F30" s="5"/>
      <c r="G30" s="49"/>
      <c r="H30" s="5">
        <v>10.86</v>
      </c>
      <c r="I30" s="5">
        <f>9*25+25*13/30</f>
        <v>235.83333333333334</v>
      </c>
      <c r="J30" s="5"/>
      <c r="K30" s="5"/>
      <c r="L30" s="6">
        <v>90</v>
      </c>
      <c r="M30" s="61">
        <v>36</v>
      </c>
      <c r="N30" s="6">
        <f t="shared" si="0"/>
        <v>37.799999999999997</v>
      </c>
    </row>
    <row r="31" spans="1:15">
      <c r="A31" s="22" t="s">
        <v>57</v>
      </c>
      <c r="B31" s="55"/>
      <c r="C31" s="31">
        <v>43478</v>
      </c>
      <c r="D31" s="31"/>
      <c r="E31" s="4">
        <v>43536</v>
      </c>
      <c r="F31" s="5"/>
      <c r="G31" s="49"/>
      <c r="H31" s="5">
        <v>10.86</v>
      </c>
      <c r="I31" s="5">
        <v>25</v>
      </c>
      <c r="J31" s="5"/>
      <c r="K31" s="5"/>
      <c r="L31" s="6">
        <v>70</v>
      </c>
      <c r="M31" s="61">
        <v>25</v>
      </c>
      <c r="N31" s="6">
        <f t="shared" si="0"/>
        <v>31.499999999999996</v>
      </c>
    </row>
    <row r="32" spans="1:15">
      <c r="A32" s="22" t="s">
        <v>59</v>
      </c>
      <c r="B32" s="22"/>
      <c r="C32" s="4">
        <v>43528</v>
      </c>
      <c r="D32" s="4"/>
      <c r="E32" s="4">
        <v>43538</v>
      </c>
      <c r="F32" s="5"/>
      <c r="G32" s="49"/>
      <c r="H32" s="5">
        <v>14.92</v>
      </c>
      <c r="I32" s="5">
        <f>77/30*10</f>
        <v>25.666666666666668</v>
      </c>
      <c r="J32" s="5"/>
      <c r="K32" s="5"/>
      <c r="L32" s="6">
        <v>169</v>
      </c>
      <c r="M32" s="61">
        <f>64+11+2</f>
        <v>77</v>
      </c>
      <c r="N32" s="6">
        <f t="shared" si="0"/>
        <v>64.399999999999991</v>
      </c>
    </row>
    <row r="33" spans="1:15">
      <c r="A33" s="22" t="s">
        <v>58</v>
      </c>
      <c r="B33" s="22"/>
      <c r="C33" s="4">
        <v>43534</v>
      </c>
      <c r="D33" s="4"/>
      <c r="E33" s="4">
        <v>43542</v>
      </c>
      <c r="F33" s="5"/>
      <c r="G33" s="49"/>
      <c r="H33" s="5">
        <f>10.86*2</f>
        <v>21.72</v>
      </c>
      <c r="I33" s="5">
        <v>0</v>
      </c>
      <c r="J33" s="5"/>
      <c r="K33" s="5"/>
      <c r="L33" s="6">
        <v>60</v>
      </c>
      <c r="M33" s="61">
        <v>33</v>
      </c>
      <c r="N33" s="6">
        <v>18.899999999999999</v>
      </c>
    </row>
    <row r="34" spans="1:15">
      <c r="A34" s="22" t="s">
        <v>61</v>
      </c>
      <c r="B34" s="22"/>
      <c r="C34" s="4">
        <v>43482</v>
      </c>
      <c r="D34" s="4"/>
      <c r="E34" s="4">
        <v>43542</v>
      </c>
      <c r="F34" s="5"/>
      <c r="G34" s="49"/>
      <c r="H34" s="5">
        <v>11.1</v>
      </c>
      <c r="I34" s="5">
        <f>25*2</f>
        <v>50</v>
      </c>
      <c r="J34" s="5"/>
      <c r="K34" s="5"/>
      <c r="L34" s="6">
        <v>70</v>
      </c>
      <c r="M34" s="61">
        <v>26</v>
      </c>
      <c r="N34" s="6">
        <f t="shared" si="0"/>
        <v>30.799999999999997</v>
      </c>
    </row>
    <row r="35" spans="1:15">
      <c r="A35" s="22" t="s">
        <v>67</v>
      </c>
      <c r="B35" s="22"/>
      <c r="C35" s="4">
        <v>43600</v>
      </c>
      <c r="D35" s="4"/>
      <c r="E35" s="4">
        <v>43629</v>
      </c>
      <c r="F35" s="5"/>
      <c r="G35" s="49"/>
      <c r="H35" s="5">
        <f>10.86*2</f>
        <v>21.72</v>
      </c>
      <c r="I35" s="5">
        <f>22/30*58</f>
        <v>42.533333333333331</v>
      </c>
      <c r="J35" s="5">
        <v>50</v>
      </c>
      <c r="K35" s="5">
        <f>H35+I35+J35</f>
        <v>114.25333333333333</v>
      </c>
      <c r="L35" s="6">
        <v>60</v>
      </c>
      <c r="M35" s="61">
        <v>25</v>
      </c>
      <c r="N35" s="6">
        <v>0</v>
      </c>
    </row>
    <row r="36" spans="1:15">
      <c r="A36" s="22" t="s">
        <v>66</v>
      </c>
      <c r="B36" s="22"/>
      <c r="C36" s="4">
        <v>43600</v>
      </c>
      <c r="D36" s="4"/>
      <c r="E36" s="4">
        <v>43629</v>
      </c>
      <c r="F36" s="5"/>
      <c r="G36" s="49"/>
      <c r="H36" s="5">
        <f>10.86</f>
        <v>10.86</v>
      </c>
      <c r="I36" s="5">
        <f>39/30*58</f>
        <v>75.400000000000006</v>
      </c>
      <c r="J36" s="5"/>
      <c r="K36" s="5">
        <f>H36+I36</f>
        <v>86.26</v>
      </c>
      <c r="L36" s="6">
        <v>110</v>
      </c>
      <c r="M36" s="61">
        <f>25+11+3</f>
        <v>39</v>
      </c>
      <c r="N36" s="6">
        <v>0</v>
      </c>
      <c r="O36" t="s">
        <v>73</v>
      </c>
    </row>
    <row r="37" spans="1:15">
      <c r="A37" s="22" t="s">
        <v>64</v>
      </c>
      <c r="B37" s="22"/>
      <c r="C37" s="4">
        <v>43627</v>
      </c>
      <c r="D37" s="4"/>
      <c r="E37" s="4">
        <v>43629</v>
      </c>
      <c r="F37" s="5"/>
      <c r="G37" s="49"/>
      <c r="H37" s="5">
        <v>10.86</v>
      </c>
      <c r="I37" s="5">
        <f>25/30*2</f>
        <v>1.6666666666666667</v>
      </c>
      <c r="J37" s="5"/>
      <c r="K37" s="5">
        <f>H37+I37</f>
        <v>12.526666666666666</v>
      </c>
      <c r="L37" s="6">
        <v>200</v>
      </c>
      <c r="M37" s="61">
        <v>11</v>
      </c>
      <c r="N37" s="5">
        <f t="shared" ref="N37:N50" si="1">(L37-M37)*0.7</f>
        <v>132.29999999999998</v>
      </c>
    </row>
    <row r="38" spans="1:15">
      <c r="A38" s="22" t="s">
        <v>65</v>
      </c>
      <c r="B38" s="22"/>
      <c r="C38" s="4">
        <v>43622</v>
      </c>
      <c r="D38" s="4"/>
      <c r="E38" s="4">
        <v>43650</v>
      </c>
      <c r="F38" s="5"/>
      <c r="G38" s="49"/>
      <c r="H38" s="5">
        <v>10.86</v>
      </c>
      <c r="I38" s="5"/>
      <c r="J38" s="5"/>
      <c r="K38" s="5"/>
      <c r="L38" s="6">
        <v>120</v>
      </c>
      <c r="M38" s="61">
        <v>60</v>
      </c>
      <c r="N38" s="6">
        <f t="shared" si="1"/>
        <v>42</v>
      </c>
    </row>
    <row r="39" spans="1:15">
      <c r="A39" s="22" t="s">
        <v>71</v>
      </c>
      <c r="B39" s="22"/>
      <c r="C39" s="4">
        <v>43635</v>
      </c>
      <c r="D39" s="4"/>
      <c r="E39" s="4">
        <v>43662</v>
      </c>
      <c r="F39" s="5"/>
      <c r="G39" s="49"/>
      <c r="H39" s="5">
        <f>10.86*2</f>
        <v>21.72</v>
      </c>
      <c r="I39" s="5"/>
      <c r="J39" s="5"/>
      <c r="K39" s="5"/>
      <c r="L39" s="6">
        <v>70</v>
      </c>
      <c r="M39" s="61">
        <v>26</v>
      </c>
      <c r="N39" s="6">
        <f t="shared" si="1"/>
        <v>30.799999999999997</v>
      </c>
      <c r="O39" t="s">
        <v>72</v>
      </c>
    </row>
    <row r="40" spans="1:15">
      <c r="A40" s="2" t="s">
        <v>75</v>
      </c>
      <c r="B40" s="2"/>
      <c r="C40" s="4">
        <v>43656</v>
      </c>
      <c r="D40" s="4"/>
      <c r="E40" s="4">
        <v>43711</v>
      </c>
      <c r="F40" s="5"/>
      <c r="G40" s="49"/>
      <c r="H40" s="5">
        <v>10.86</v>
      </c>
      <c r="I40" s="5">
        <f>36/30*48</f>
        <v>57.599999999999994</v>
      </c>
      <c r="J40" s="5"/>
      <c r="K40" s="5"/>
      <c r="L40" s="6">
        <v>105</v>
      </c>
      <c r="M40" s="61">
        <v>36</v>
      </c>
      <c r="N40" s="6">
        <f t="shared" si="1"/>
        <v>48.3</v>
      </c>
    </row>
    <row r="41" spans="1:15">
      <c r="A41" s="2" t="s">
        <v>76</v>
      </c>
      <c r="B41" s="2"/>
      <c r="C41" s="4">
        <v>43677</v>
      </c>
      <c r="D41" s="4"/>
      <c r="E41" s="4">
        <v>43713</v>
      </c>
      <c r="F41" s="5"/>
      <c r="G41" s="49"/>
      <c r="H41" s="5">
        <v>24.06</v>
      </c>
      <c r="I41" s="5">
        <f>80/30*35</f>
        <v>93.333333333333329</v>
      </c>
      <c r="J41" s="5">
        <v>40</v>
      </c>
      <c r="K41" s="5"/>
      <c r="L41" s="6">
        <v>149</v>
      </c>
      <c r="M41" s="61">
        <v>80</v>
      </c>
      <c r="N41" s="6">
        <f t="shared" si="1"/>
        <v>48.3</v>
      </c>
      <c r="O41" t="s">
        <v>79</v>
      </c>
    </row>
    <row r="42" spans="1:15">
      <c r="A42" s="2" t="s">
        <v>81</v>
      </c>
      <c r="B42" s="2"/>
      <c r="C42" s="4">
        <v>43788</v>
      </c>
      <c r="D42" s="4"/>
      <c r="E42" s="4">
        <v>43865</v>
      </c>
      <c r="F42" s="5"/>
      <c r="G42" s="49"/>
      <c r="H42" s="5">
        <v>9.14</v>
      </c>
      <c r="I42" s="5">
        <f>25/30*45</f>
        <v>37.5</v>
      </c>
      <c r="J42" s="5"/>
      <c r="K42" s="5"/>
      <c r="L42" s="6">
        <v>90</v>
      </c>
      <c r="M42" s="61">
        <v>25</v>
      </c>
      <c r="N42" s="6">
        <f t="shared" si="1"/>
        <v>45.5</v>
      </c>
    </row>
    <row r="43" spans="1:15">
      <c r="A43" s="22" t="s">
        <v>87</v>
      </c>
      <c r="B43" s="22"/>
      <c r="C43" s="35">
        <v>43878</v>
      </c>
      <c r="D43" s="35"/>
      <c r="E43" s="35">
        <v>43892</v>
      </c>
      <c r="F43" s="5"/>
      <c r="G43" s="49"/>
      <c r="H43" s="5">
        <v>12.19</v>
      </c>
      <c r="I43" s="5"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5">
      <c r="A44" s="22" t="s">
        <v>89</v>
      </c>
      <c r="B44" s="22"/>
      <c r="C44" s="35">
        <v>43908</v>
      </c>
      <c r="D44" s="35"/>
      <c r="E44" s="35">
        <v>43893</v>
      </c>
      <c r="F44" s="5"/>
      <c r="G44" s="49"/>
      <c r="H44" s="5">
        <v>9.6</v>
      </c>
      <c r="I44" s="5">
        <v>5.5</v>
      </c>
      <c r="J44" s="5"/>
      <c r="K44" s="5"/>
      <c r="L44" s="6">
        <v>25</v>
      </c>
      <c r="M44" s="61">
        <v>11</v>
      </c>
      <c r="N44" s="6">
        <f t="shared" si="1"/>
        <v>9.7999999999999989</v>
      </c>
    </row>
    <row r="45" spans="1:15">
      <c r="A45" s="22" t="s">
        <v>85</v>
      </c>
      <c r="B45" s="22"/>
      <c r="C45" s="35">
        <v>43881</v>
      </c>
      <c r="D45" s="35"/>
      <c r="E45" s="35">
        <v>43895</v>
      </c>
      <c r="F45" s="5"/>
      <c r="G45" s="49"/>
      <c r="H45" s="5">
        <v>9.14</v>
      </c>
      <c r="I45" s="5">
        <f>11/30*15</f>
        <v>5.5</v>
      </c>
      <c r="J45" s="5"/>
      <c r="K45" s="5"/>
      <c r="L45" s="6">
        <v>25</v>
      </c>
      <c r="M45" s="61">
        <v>11</v>
      </c>
      <c r="N45" s="6">
        <f t="shared" si="1"/>
        <v>9.7999999999999989</v>
      </c>
    </row>
    <row r="46" spans="1:15">
      <c r="A46" s="39" t="s">
        <v>82</v>
      </c>
      <c r="B46" s="28"/>
      <c r="C46" s="36">
        <v>40235</v>
      </c>
      <c r="D46" s="36"/>
      <c r="E46" s="36">
        <v>43901</v>
      </c>
      <c r="F46" s="5"/>
      <c r="G46" s="34"/>
      <c r="H46" s="37">
        <v>9.6</v>
      </c>
      <c r="I46" s="5">
        <f>11/2</f>
        <v>5.5</v>
      </c>
      <c r="J46" s="5"/>
      <c r="K46" s="5"/>
      <c r="L46" s="17">
        <v>25</v>
      </c>
      <c r="M46" s="63">
        <v>11</v>
      </c>
      <c r="N46" s="26">
        <f t="shared" si="1"/>
        <v>9.7999999999999989</v>
      </c>
    </row>
    <row r="47" spans="1:15">
      <c r="A47" s="22" t="s">
        <v>84</v>
      </c>
      <c r="B47" s="22"/>
      <c r="C47" s="35">
        <v>43889</v>
      </c>
      <c r="D47" s="35"/>
      <c r="E47" s="35">
        <v>43903</v>
      </c>
      <c r="F47" s="5"/>
      <c r="G47" s="49"/>
      <c r="H47" s="5">
        <v>9.14</v>
      </c>
      <c r="I47" s="5">
        <f>11/30*15</f>
        <v>5.5</v>
      </c>
      <c r="J47" s="5"/>
      <c r="K47" s="5"/>
      <c r="L47" s="6">
        <v>25</v>
      </c>
      <c r="M47" s="61">
        <v>11</v>
      </c>
      <c r="N47" s="6">
        <f t="shared" si="1"/>
        <v>9.7999999999999989</v>
      </c>
    </row>
    <row r="48" spans="1:15">
      <c r="A48" s="22" t="s">
        <v>80</v>
      </c>
      <c r="B48" s="22"/>
      <c r="C48" s="35">
        <v>43873</v>
      </c>
      <c r="D48" s="35"/>
      <c r="E48" s="35">
        <v>43910</v>
      </c>
      <c r="F48" s="5"/>
      <c r="G48" s="49"/>
      <c r="H48" s="5">
        <v>21.84</v>
      </c>
      <c r="I48" s="5">
        <f>56/30*38</f>
        <v>70.933333333333337</v>
      </c>
      <c r="J48" s="5"/>
      <c r="K48" s="5"/>
      <c r="L48" s="6">
        <v>120</v>
      </c>
      <c r="M48" s="61">
        <v>56</v>
      </c>
      <c r="N48" s="6">
        <f t="shared" si="1"/>
        <v>44.8</v>
      </c>
    </row>
    <row r="49" spans="1:16">
      <c r="A49" s="22" t="s">
        <v>83</v>
      </c>
      <c r="B49" s="22"/>
      <c r="C49" s="35">
        <v>43872</v>
      </c>
      <c r="D49" s="35"/>
      <c r="E49" s="35">
        <v>43913</v>
      </c>
      <c r="F49" s="5"/>
      <c r="G49" s="49"/>
      <c r="H49" s="5">
        <v>12.24</v>
      </c>
      <c r="I49" s="5">
        <f>45/30*42</f>
        <v>63</v>
      </c>
      <c r="J49" s="5"/>
      <c r="K49" s="5"/>
      <c r="L49" s="6">
        <v>85</v>
      </c>
      <c r="M49" s="61">
        <v>45</v>
      </c>
      <c r="N49" s="6">
        <f t="shared" si="1"/>
        <v>28</v>
      </c>
    </row>
    <row r="50" spans="1:16">
      <c r="A50" s="22" t="s">
        <v>88</v>
      </c>
      <c r="B50" s="22"/>
      <c r="C50" s="35">
        <v>43855</v>
      </c>
      <c r="D50" s="35"/>
      <c r="E50" s="35">
        <v>43941</v>
      </c>
      <c r="F50" s="5"/>
      <c r="G50" s="49"/>
      <c r="H50" s="5">
        <v>13.93</v>
      </c>
      <c r="I50" s="5">
        <f>56/30*85</f>
        <v>158.66666666666666</v>
      </c>
      <c r="J50" s="5"/>
      <c r="K50" s="5"/>
      <c r="L50" s="6">
        <v>110</v>
      </c>
      <c r="M50" s="61">
        <v>56</v>
      </c>
      <c r="N50" s="6">
        <f t="shared" si="1"/>
        <v>37.799999999999997</v>
      </c>
    </row>
    <row r="51" spans="1:16">
      <c r="A51" s="22" t="s">
        <v>90</v>
      </c>
      <c r="B51" s="22"/>
      <c r="C51" s="35" t="s">
        <v>96</v>
      </c>
      <c r="D51" s="35"/>
      <c r="E51" s="35">
        <v>44015</v>
      </c>
      <c r="F51" s="5" t="s">
        <v>160</v>
      </c>
      <c r="G51" s="49">
        <v>12.5</v>
      </c>
      <c r="H51" s="5">
        <v>11.29</v>
      </c>
      <c r="I51" s="5">
        <f>100</f>
        <v>100</v>
      </c>
      <c r="J51" s="5"/>
      <c r="K51" s="5"/>
      <c r="L51" s="6">
        <v>105</v>
      </c>
      <c r="M51" s="61">
        <f>25+11+22</f>
        <v>58</v>
      </c>
      <c r="N51" s="6">
        <f>12.5+(92.5-M51)*0.7</f>
        <v>36.65</v>
      </c>
      <c r="P51" s="41"/>
    </row>
    <row r="52" spans="1:16">
      <c r="A52" s="22" t="s">
        <v>97</v>
      </c>
      <c r="B52" s="22"/>
      <c r="C52" s="35">
        <v>43990</v>
      </c>
      <c r="D52" s="35"/>
      <c r="E52" s="35">
        <v>44036</v>
      </c>
      <c r="F52" s="5"/>
      <c r="G52" s="49"/>
      <c r="H52" s="5">
        <v>8.75</v>
      </c>
      <c r="I52" s="5">
        <f>56/30*46</f>
        <v>85.866666666666674</v>
      </c>
      <c r="J52" s="5"/>
      <c r="K52" s="5"/>
      <c r="L52" s="6">
        <v>110</v>
      </c>
      <c r="M52" s="61">
        <f>45+11</f>
        <v>56</v>
      </c>
      <c r="N52" s="6">
        <f>(L52-M52)*0.7</f>
        <v>37.799999999999997</v>
      </c>
    </row>
    <row r="53" spans="1:16">
      <c r="A53" s="22" t="s">
        <v>95</v>
      </c>
      <c r="B53" s="22"/>
      <c r="C53" s="35">
        <v>44028</v>
      </c>
      <c r="D53" s="35"/>
      <c r="E53" s="35">
        <v>44040</v>
      </c>
      <c r="F53" s="5"/>
      <c r="G53" s="49"/>
      <c r="H53" s="5">
        <v>8.75</v>
      </c>
      <c r="I53" s="5">
        <f>41/30*12</f>
        <v>16.399999999999999</v>
      </c>
      <c r="J53" s="5"/>
      <c r="K53" s="5"/>
      <c r="L53" s="6">
        <v>60</v>
      </c>
      <c r="M53" s="61">
        <v>41</v>
      </c>
      <c r="N53" s="6">
        <f>(L53-M53)*0.7</f>
        <v>13.299999999999999</v>
      </c>
    </row>
    <row r="54" spans="1:16">
      <c r="A54" s="22" t="s">
        <v>98</v>
      </c>
      <c r="B54" s="22"/>
      <c r="C54" s="35">
        <v>44048</v>
      </c>
      <c r="D54" s="35"/>
      <c r="E54" s="35">
        <v>44081</v>
      </c>
      <c r="F54" s="5" t="s">
        <v>160</v>
      </c>
      <c r="G54" s="49">
        <v>17.5</v>
      </c>
      <c r="H54" s="5">
        <v>27.88</v>
      </c>
      <c r="I54" s="5">
        <f>58/30*32</f>
        <v>61.866666666666667</v>
      </c>
      <c r="J54" s="5">
        <v>125</v>
      </c>
      <c r="K54" s="5"/>
      <c r="L54" s="6">
        <v>140</v>
      </c>
      <c r="M54" s="61">
        <f>25+33</f>
        <v>58</v>
      </c>
      <c r="N54" s="6">
        <f>17.5+64.5*0.7</f>
        <v>62.65</v>
      </c>
      <c r="P54" s="41"/>
    </row>
    <row r="55" spans="1:16">
      <c r="A55" s="22" t="s">
        <v>94</v>
      </c>
      <c r="B55" s="22"/>
      <c r="C55" s="35">
        <v>44011</v>
      </c>
      <c r="D55" s="35"/>
      <c r="E55" s="35">
        <v>44084</v>
      </c>
      <c r="F55" s="5"/>
      <c r="G55" s="49"/>
      <c r="H55" s="5">
        <v>11.29</v>
      </c>
      <c r="I55" s="5">
        <f>25/30*71</f>
        <v>59.166666666666671</v>
      </c>
      <c r="J55" s="5"/>
      <c r="K55" s="5"/>
      <c r="L55" s="6">
        <v>40</v>
      </c>
      <c r="M55" s="61">
        <v>25</v>
      </c>
      <c r="N55" s="6">
        <f>(L55-M55)*0.7</f>
        <v>10.5</v>
      </c>
    </row>
    <row r="56" spans="1:16">
      <c r="A56" s="2" t="s">
        <v>99</v>
      </c>
      <c r="B56" s="2"/>
      <c r="C56" s="35">
        <v>44084</v>
      </c>
      <c r="D56" s="35"/>
      <c r="E56" s="35">
        <v>44105</v>
      </c>
      <c r="F56" s="5" t="s">
        <v>160</v>
      </c>
      <c r="G56" s="49">
        <v>5</v>
      </c>
      <c r="H56" s="5">
        <v>12.24</v>
      </c>
      <c r="I56" s="5">
        <f>25/30*20</f>
        <v>16.666666666666668</v>
      </c>
      <c r="J56" s="5"/>
      <c r="K56" s="5"/>
      <c r="L56" s="43">
        <v>40</v>
      </c>
      <c r="M56" s="61">
        <v>22</v>
      </c>
      <c r="N56" s="6">
        <f>5+13*0.7</f>
        <v>14.1</v>
      </c>
      <c r="P56" s="41"/>
    </row>
    <row r="57" spans="1:16">
      <c r="A57" s="2" t="s">
        <v>102</v>
      </c>
      <c r="B57" s="2"/>
      <c r="C57" s="4" t="s">
        <v>103</v>
      </c>
      <c r="D57" s="4"/>
      <c r="E57" s="4">
        <v>44110</v>
      </c>
      <c r="F57" s="5" t="s">
        <v>160</v>
      </c>
      <c r="G57" s="49">
        <v>10</v>
      </c>
      <c r="H57" s="5">
        <v>36.65</v>
      </c>
      <c r="I57" s="5">
        <f>115/30*26</f>
        <v>99.666666666666671</v>
      </c>
      <c r="J57" s="5"/>
      <c r="K57" s="5"/>
      <c r="L57" s="6">
        <v>180</v>
      </c>
      <c r="M57" s="61">
        <v>115</v>
      </c>
      <c r="N57" s="6">
        <f>10+55*0.7</f>
        <v>48.5</v>
      </c>
      <c r="P57" s="41"/>
    </row>
    <row r="58" spans="1:16">
      <c r="A58" s="2" t="s">
        <v>94</v>
      </c>
      <c r="B58" s="2"/>
      <c r="C58" s="35">
        <v>44124</v>
      </c>
      <c r="D58" s="35"/>
      <c r="E58" s="35">
        <v>44124</v>
      </c>
      <c r="F58" s="5"/>
      <c r="G58" s="49"/>
      <c r="H58" s="5">
        <v>7.25</v>
      </c>
      <c r="I58" s="5">
        <v>0</v>
      </c>
      <c r="J58" s="5"/>
      <c r="K58" s="5"/>
      <c r="L58" s="6">
        <v>25</v>
      </c>
      <c r="M58" s="61">
        <v>11</v>
      </c>
      <c r="N58" s="6">
        <f>(L58-M58)*0.7</f>
        <v>9.7999999999999989</v>
      </c>
    </row>
    <row r="59" spans="1:16">
      <c r="A59" s="2" t="s">
        <v>100</v>
      </c>
      <c r="B59" s="2"/>
      <c r="C59" s="4">
        <v>44018</v>
      </c>
      <c r="D59" s="4"/>
      <c r="E59" s="4">
        <v>44124</v>
      </c>
      <c r="F59" s="40"/>
      <c r="G59" s="2"/>
      <c r="H59" s="5">
        <v>9.5</v>
      </c>
      <c r="I59" s="5">
        <f>25/30*104</f>
        <v>86.666666666666671</v>
      </c>
      <c r="J59" s="5"/>
      <c r="K59" s="5"/>
      <c r="L59" s="6">
        <v>70</v>
      </c>
      <c r="M59" s="61">
        <v>25</v>
      </c>
      <c r="N59" s="6">
        <f>(L59-M59)*0.7</f>
        <v>31.499999999999996</v>
      </c>
    </row>
    <row r="60" spans="1:16">
      <c r="A60" s="2" t="s">
        <v>101</v>
      </c>
      <c r="B60" s="2"/>
      <c r="C60" s="4">
        <v>44070</v>
      </c>
      <c r="D60" s="4"/>
      <c r="E60" s="4">
        <v>44131</v>
      </c>
      <c r="F60" s="40"/>
      <c r="G60" s="2"/>
      <c r="H60" s="5">
        <v>13.93</v>
      </c>
      <c r="I60" s="5">
        <f>71/30*60</f>
        <v>142</v>
      </c>
      <c r="J60" s="5"/>
      <c r="K60" s="5"/>
      <c r="L60" s="6">
        <v>120</v>
      </c>
      <c r="M60" s="61">
        <f>60+11</f>
        <v>71</v>
      </c>
      <c r="N60" s="6">
        <f>(L60-M60)*0.7</f>
        <v>34.299999999999997</v>
      </c>
    </row>
    <row r="61" spans="1:16">
      <c r="A61" s="22" t="s">
        <v>104</v>
      </c>
      <c r="B61" s="22"/>
      <c r="C61" s="4">
        <v>44159</v>
      </c>
      <c r="D61" s="4"/>
      <c r="E61" s="4">
        <v>44187</v>
      </c>
      <c r="F61" s="40"/>
      <c r="G61" s="2"/>
      <c r="H61" s="5">
        <v>13.93</v>
      </c>
      <c r="I61" s="5">
        <f>36/30*28</f>
        <v>33.6</v>
      </c>
      <c r="J61" s="5"/>
      <c r="K61" s="5"/>
      <c r="L61" s="6">
        <v>110</v>
      </c>
      <c r="M61" s="61">
        <f>25+11</f>
        <v>36</v>
      </c>
      <c r="N61" s="6">
        <f>(L61-M61)*0.7</f>
        <v>51.8</v>
      </c>
    </row>
    <row r="62" spans="1:16">
      <c r="A62" s="22" t="s">
        <v>120</v>
      </c>
      <c r="B62" s="22"/>
      <c r="C62" s="4">
        <v>44169</v>
      </c>
      <c r="D62" s="4"/>
      <c r="E62" s="4">
        <v>44208</v>
      </c>
      <c r="F62" s="5" t="s">
        <v>160</v>
      </c>
      <c r="G62" s="49">
        <v>10</v>
      </c>
      <c r="H62" s="5"/>
      <c r="I62" s="5">
        <f>41/30*38</f>
        <v>51.933333333333337</v>
      </c>
      <c r="J62" s="5"/>
      <c r="K62" s="5"/>
      <c r="L62" s="6">
        <v>70</v>
      </c>
      <c r="M62" s="61">
        <v>45</v>
      </c>
      <c r="N62" s="5">
        <f>10+(60-45)*0.7</f>
        <v>20.5</v>
      </c>
      <c r="O62" s="1" t="s">
        <v>145</v>
      </c>
    </row>
    <row r="63" spans="1:16">
      <c r="A63" s="22" t="s">
        <v>108</v>
      </c>
      <c r="B63" s="22"/>
      <c r="C63" s="4">
        <v>44185</v>
      </c>
      <c r="D63" s="4"/>
      <c r="E63" s="4">
        <v>44242</v>
      </c>
      <c r="F63" s="5" t="s">
        <v>160</v>
      </c>
      <c r="G63" s="49">
        <v>20</v>
      </c>
      <c r="H63" s="5">
        <v>26.48</v>
      </c>
      <c r="I63" s="5">
        <f>50/30*55</f>
        <v>91.666666666666671</v>
      </c>
      <c r="J63" s="5">
        <v>160</v>
      </c>
      <c r="K63" s="5"/>
      <c r="L63" s="6">
        <v>190</v>
      </c>
      <c r="M63" s="61">
        <v>61</v>
      </c>
      <c r="N63" s="5">
        <f>(20+(170-61)*0.7)</f>
        <v>96.3</v>
      </c>
      <c r="O63" s="1" t="s">
        <v>145</v>
      </c>
    </row>
    <row r="64" spans="1:16">
      <c r="A64" s="22" t="s">
        <v>109</v>
      </c>
      <c r="B64" s="22"/>
      <c r="C64" s="4">
        <v>44209</v>
      </c>
      <c r="D64" s="4"/>
      <c r="E64" s="4">
        <v>44250</v>
      </c>
      <c r="F64" s="5" t="s">
        <v>160</v>
      </c>
      <c r="G64" s="49">
        <v>22.5</v>
      </c>
      <c r="H64" s="5">
        <v>22.83</v>
      </c>
      <c r="I64" s="5">
        <f>100/30*40</f>
        <v>133.33333333333334</v>
      </c>
      <c r="J64" s="5">
        <v>125</v>
      </c>
      <c r="K64" s="5"/>
      <c r="L64" s="6">
        <v>210</v>
      </c>
      <c r="M64" s="61">
        <v>100</v>
      </c>
      <c r="N64" s="6">
        <f>(22.5+87.5*0.7)</f>
        <v>83.75</v>
      </c>
    </row>
    <row r="65" spans="1:15">
      <c r="A65" s="2" t="s">
        <v>113</v>
      </c>
      <c r="B65" s="2"/>
      <c r="C65" s="4">
        <v>44245</v>
      </c>
      <c r="D65" s="4"/>
      <c r="E65" s="4">
        <v>44271</v>
      </c>
      <c r="F65" s="5" t="s">
        <v>160</v>
      </c>
      <c r="G65" s="49">
        <v>15</v>
      </c>
      <c r="H65" s="5">
        <v>26.76</v>
      </c>
      <c r="I65" s="5">
        <f>67/30*28</f>
        <v>62.533333333333331</v>
      </c>
      <c r="J65" s="5"/>
      <c r="K65" s="5"/>
      <c r="L65" s="6">
        <v>140</v>
      </c>
      <c r="M65" s="61">
        <v>67</v>
      </c>
      <c r="N65" s="6">
        <f>(15+0.7*58)</f>
        <v>55.599999999999994</v>
      </c>
    </row>
    <row r="66" spans="1:15">
      <c r="A66" s="2" t="s">
        <v>114</v>
      </c>
      <c r="B66" s="2"/>
      <c r="C66" s="4">
        <v>44222</v>
      </c>
      <c r="D66" s="4"/>
      <c r="E66" s="4">
        <v>44279</v>
      </c>
      <c r="F66" s="5" t="s">
        <v>160</v>
      </c>
      <c r="G66" s="49">
        <v>12.5</v>
      </c>
      <c r="H66" s="5">
        <v>13.4</v>
      </c>
      <c r="I66" s="5">
        <f>56/30*58</f>
        <v>108.26666666666667</v>
      </c>
      <c r="J66" s="5">
        <v>100</v>
      </c>
      <c r="K66" s="5"/>
      <c r="L66" s="6">
        <v>140</v>
      </c>
      <c r="M66" s="61">
        <v>56</v>
      </c>
      <c r="N66" s="5">
        <f>(12.5+71.5*0.7)</f>
        <v>62.55</v>
      </c>
      <c r="O66" s="1" t="s">
        <v>145</v>
      </c>
    </row>
    <row r="67" spans="1:15">
      <c r="A67" s="2" t="s">
        <v>112</v>
      </c>
      <c r="B67" s="2"/>
      <c r="C67" s="4">
        <v>44270</v>
      </c>
      <c r="D67" s="4"/>
      <c r="E67" s="4">
        <v>44286</v>
      </c>
      <c r="F67" s="5" t="s">
        <v>160</v>
      </c>
      <c r="G67" s="49">
        <v>17.5</v>
      </c>
      <c r="H67" s="5">
        <v>31.96</v>
      </c>
      <c r="I67" s="5">
        <f>55/30*16</f>
        <v>29.333333333333332</v>
      </c>
      <c r="J67" s="5">
        <v>75</v>
      </c>
      <c r="K67" s="5"/>
      <c r="L67" s="6">
        <v>100</v>
      </c>
      <c r="M67" s="61">
        <v>55</v>
      </c>
      <c r="N67" s="6">
        <f>(17.5+27.5*0.7)</f>
        <v>36.75</v>
      </c>
    </row>
    <row r="68" spans="1:15">
      <c r="A68" s="2" t="s">
        <v>119</v>
      </c>
      <c r="B68" s="2"/>
      <c r="C68" s="4">
        <v>44281</v>
      </c>
      <c r="D68" s="4"/>
      <c r="E68" s="4">
        <v>44316</v>
      </c>
      <c r="F68" s="40"/>
      <c r="G68" s="2"/>
      <c r="H68" s="5">
        <v>14.26</v>
      </c>
      <c r="I68" s="5">
        <f>45/30*34</f>
        <v>51</v>
      </c>
      <c r="J68" s="5"/>
      <c r="K68" s="5"/>
      <c r="L68" s="6">
        <v>110</v>
      </c>
      <c r="M68" s="61">
        <v>45</v>
      </c>
      <c r="N68" s="6">
        <f>(65*0.7)</f>
        <v>45.5</v>
      </c>
    </row>
    <row r="69" spans="1:15">
      <c r="A69" s="22" t="s">
        <v>121</v>
      </c>
      <c r="B69" s="22"/>
      <c r="C69" s="4">
        <v>44316</v>
      </c>
      <c r="D69" s="4"/>
      <c r="E69" s="4">
        <v>44354</v>
      </c>
      <c r="F69" s="40"/>
      <c r="G69" s="2"/>
      <c r="H69" s="5">
        <v>15.15</v>
      </c>
      <c r="I69" s="5">
        <f>36/30*37</f>
        <v>44.4</v>
      </c>
      <c r="J69" s="5"/>
      <c r="K69" s="5"/>
      <c r="L69" s="6">
        <v>110</v>
      </c>
      <c r="M69" s="61">
        <v>36</v>
      </c>
      <c r="N69" s="5">
        <f>(L69-M69)*0.7</f>
        <v>51.8</v>
      </c>
      <c r="O69" s="1" t="s">
        <v>145</v>
      </c>
    </row>
    <row r="70" spans="1:15">
      <c r="A70" s="22" t="s">
        <v>126</v>
      </c>
      <c r="B70" s="22"/>
      <c r="C70" s="4">
        <v>44336</v>
      </c>
      <c r="D70" s="4"/>
      <c r="E70" s="4">
        <v>44370</v>
      </c>
      <c r="F70" s="5" t="s">
        <v>161</v>
      </c>
      <c r="G70" s="49">
        <v>17.5</v>
      </c>
      <c r="H70" s="5">
        <v>35.78</v>
      </c>
      <c r="I70" s="5">
        <f>58/30*33</f>
        <v>63.8</v>
      </c>
      <c r="J70" s="5">
        <v>50</v>
      </c>
      <c r="K70" s="5"/>
      <c r="L70" s="6">
        <v>150</v>
      </c>
      <c r="M70" s="61">
        <v>58</v>
      </c>
      <c r="N70" s="6">
        <f>(17.5+74.5*0.7)</f>
        <v>69.650000000000006</v>
      </c>
    </row>
    <row r="71" spans="1:15">
      <c r="A71" s="44" t="s">
        <v>125</v>
      </c>
      <c r="B71" s="44"/>
      <c r="C71" s="4">
        <v>44342</v>
      </c>
      <c r="D71" s="4"/>
      <c r="E71" s="4">
        <v>44386</v>
      </c>
      <c r="F71" s="5" t="s">
        <v>160</v>
      </c>
      <c r="G71" s="49">
        <v>12.5</v>
      </c>
      <c r="H71" s="5">
        <v>15.46</v>
      </c>
      <c r="I71" s="5">
        <f>36/30*43</f>
        <v>51.6</v>
      </c>
      <c r="J71" s="5">
        <f>50+45</f>
        <v>95</v>
      </c>
      <c r="K71" s="5"/>
      <c r="L71" s="6">
        <v>80</v>
      </c>
      <c r="M71" s="61">
        <v>33</v>
      </c>
      <c r="N71" s="6">
        <f>12.5+(L71-M71-12.5)*0.7</f>
        <v>36.65</v>
      </c>
    </row>
    <row r="72" spans="1:15">
      <c r="A72" s="44" t="s">
        <v>129</v>
      </c>
      <c r="B72" s="44"/>
      <c r="C72" s="4">
        <v>44348</v>
      </c>
      <c r="D72" s="4"/>
      <c r="E72" s="4">
        <v>44389</v>
      </c>
      <c r="F72" s="5" t="s">
        <v>160</v>
      </c>
      <c r="G72" s="49">
        <v>12.5</v>
      </c>
      <c r="H72" s="5">
        <v>26.22</v>
      </c>
      <c r="I72" s="5">
        <f>71/30*42</f>
        <v>99.4</v>
      </c>
      <c r="J72" s="5">
        <f>50+45</f>
        <v>95</v>
      </c>
      <c r="K72" s="5"/>
      <c r="L72" s="6">
        <v>140</v>
      </c>
      <c r="M72" s="61">
        <v>71</v>
      </c>
      <c r="N72" s="6">
        <f>(12.5+(127.5-71)*0.7)</f>
        <v>52.05</v>
      </c>
    </row>
    <row r="73" spans="1:15">
      <c r="A73" s="44" t="s">
        <v>124</v>
      </c>
      <c r="B73" s="44"/>
      <c r="C73" s="4">
        <v>44348</v>
      </c>
      <c r="D73" s="4"/>
      <c r="E73" s="4">
        <v>44389</v>
      </c>
      <c r="F73" s="40"/>
      <c r="G73" s="2"/>
      <c r="H73" s="5">
        <v>11.62</v>
      </c>
      <c r="I73" s="5">
        <f>26/30*42</f>
        <v>36.4</v>
      </c>
      <c r="J73" s="5">
        <v>65</v>
      </c>
      <c r="K73" s="5"/>
      <c r="L73" s="6">
        <v>70</v>
      </c>
      <c r="M73" s="61">
        <v>26</v>
      </c>
      <c r="N73" s="6">
        <f>(70-26)*0.7</f>
        <v>30.799999999999997</v>
      </c>
    </row>
    <row r="74" spans="1:15">
      <c r="A74" s="44" t="s">
        <v>132</v>
      </c>
      <c r="B74" s="44"/>
      <c r="C74" s="4">
        <v>44407</v>
      </c>
      <c r="D74" s="4"/>
      <c r="E74" s="4">
        <v>44461</v>
      </c>
      <c r="F74" s="40"/>
      <c r="G74" s="2"/>
      <c r="H74" s="5">
        <v>9.8800000000000008</v>
      </c>
      <c r="I74" s="5">
        <f>25/30*52</f>
        <v>43.333333333333336</v>
      </c>
      <c r="J74" s="5"/>
      <c r="K74" s="5"/>
      <c r="L74" s="6">
        <v>40</v>
      </c>
      <c r="M74" s="61">
        <v>25</v>
      </c>
      <c r="N74" s="6">
        <f>(L74-M74)*0.7</f>
        <v>10.5</v>
      </c>
    </row>
    <row r="75" spans="1:15">
      <c r="A75" s="44" t="s">
        <v>133</v>
      </c>
      <c r="B75" s="44"/>
      <c r="C75" s="4">
        <v>44432</v>
      </c>
      <c r="D75" s="4"/>
      <c r="E75" s="4">
        <v>44467</v>
      </c>
      <c r="F75" s="40"/>
      <c r="G75" s="2"/>
      <c r="H75" s="5">
        <v>9.8800000000000008</v>
      </c>
      <c r="I75" s="5">
        <f>25/30*34</f>
        <v>28.333333333333336</v>
      </c>
      <c r="J75" s="5"/>
      <c r="K75" s="5"/>
      <c r="L75" s="6">
        <v>40</v>
      </c>
      <c r="M75" s="61">
        <v>25</v>
      </c>
      <c r="N75" s="6">
        <f>(L75-M75)*0.7</f>
        <v>10.5</v>
      </c>
    </row>
    <row r="76" spans="1:15">
      <c r="A76" s="52" t="s">
        <v>141</v>
      </c>
      <c r="B76" s="52"/>
      <c r="C76" s="57">
        <v>44459</v>
      </c>
      <c r="D76" s="57"/>
      <c r="E76" s="57">
        <v>44481</v>
      </c>
      <c r="F76" s="10" t="s">
        <v>161</v>
      </c>
      <c r="G76" s="12">
        <v>10</v>
      </c>
      <c r="H76" s="25">
        <v>15.15</v>
      </c>
      <c r="I76" s="25">
        <f>46/30*22</f>
        <v>33.733333333333334</v>
      </c>
      <c r="J76" s="25">
        <v>80</v>
      </c>
      <c r="K76" s="25"/>
      <c r="L76" s="27">
        <v>120</v>
      </c>
      <c r="M76" s="64">
        <v>46</v>
      </c>
      <c r="N76" s="27">
        <f>10+(120-56)*0.7</f>
        <v>54.8</v>
      </c>
    </row>
    <row r="77" spans="1:15">
      <c r="A77" s="52" t="s">
        <v>140</v>
      </c>
      <c r="B77" s="52"/>
      <c r="C77" s="57">
        <v>44449</v>
      </c>
      <c r="D77" s="57"/>
      <c r="E77" s="57">
        <v>44482</v>
      </c>
      <c r="F77" s="25" t="s">
        <v>160</v>
      </c>
      <c r="G77" s="58">
        <v>10</v>
      </c>
      <c r="H77" s="25">
        <v>13.4</v>
      </c>
      <c r="I77" s="25">
        <f>60/30*33</f>
        <v>66</v>
      </c>
      <c r="J77" s="25">
        <v>80</v>
      </c>
      <c r="K77" s="25"/>
      <c r="L77" s="27">
        <v>120</v>
      </c>
      <c r="M77" s="64">
        <v>61</v>
      </c>
      <c r="N77" s="27">
        <f>(10+49*0.7)</f>
        <v>44.3</v>
      </c>
    </row>
    <row r="78" spans="1:15">
      <c r="A78" s="44" t="s">
        <v>137</v>
      </c>
      <c r="B78" s="44"/>
      <c r="C78" s="35">
        <v>44474</v>
      </c>
      <c r="D78" s="35"/>
      <c r="E78" s="35">
        <v>44487</v>
      </c>
      <c r="F78" s="10" t="s">
        <v>161</v>
      </c>
      <c r="G78" s="12">
        <v>12.5</v>
      </c>
      <c r="H78" s="5">
        <v>15.15</v>
      </c>
      <c r="I78" s="5">
        <f>71/30*13</f>
        <v>30.766666666666666</v>
      </c>
      <c r="J78" s="5">
        <v>95</v>
      </c>
      <c r="K78" s="5"/>
      <c r="L78" s="6">
        <v>140</v>
      </c>
      <c r="M78" s="61">
        <v>71</v>
      </c>
      <c r="N78" s="6">
        <f>12.5+(56.5)*0.7</f>
        <v>52.05</v>
      </c>
    </row>
    <row r="79" spans="1:15">
      <c r="A79" s="44" t="s">
        <v>143</v>
      </c>
      <c r="B79" s="44"/>
      <c r="C79" s="35">
        <v>43717</v>
      </c>
      <c r="D79" s="35"/>
      <c r="E79" s="35">
        <v>44505</v>
      </c>
      <c r="F79" s="40"/>
      <c r="G79" s="49"/>
      <c r="H79" s="5">
        <v>13.4</v>
      </c>
      <c r="I79" s="5">
        <f>36*25+36/30*26</f>
        <v>931.2</v>
      </c>
      <c r="J79" s="5"/>
      <c r="K79" s="5"/>
      <c r="L79" s="6">
        <v>100</v>
      </c>
      <c r="M79" s="61">
        <v>36</v>
      </c>
      <c r="N79" s="6">
        <f>(100-36)*0.7</f>
        <v>44.8</v>
      </c>
    </row>
    <row r="80" spans="1:15">
      <c r="A80" s="44" t="s">
        <v>139</v>
      </c>
      <c r="B80" s="44"/>
      <c r="C80" s="35">
        <v>44492</v>
      </c>
      <c r="D80" s="35"/>
      <c r="E80" s="35">
        <v>44539</v>
      </c>
      <c r="F80" s="40"/>
      <c r="G80" s="49"/>
      <c r="H80" s="5">
        <v>16.350000000000001</v>
      </c>
      <c r="I80" s="5">
        <f>71/30*46</f>
        <v>108.86666666666667</v>
      </c>
      <c r="J80" s="5">
        <v>95</v>
      </c>
      <c r="K80" s="5"/>
      <c r="L80" s="6">
        <v>140</v>
      </c>
      <c r="M80" s="61">
        <v>71</v>
      </c>
      <c r="N80" s="6">
        <f>(140-71)*0.7/30*21</f>
        <v>33.809999999999995</v>
      </c>
    </row>
    <row r="81" spans="1:14">
      <c r="A81" s="44" t="s">
        <v>144</v>
      </c>
      <c r="B81" s="44"/>
      <c r="C81" s="35">
        <v>44526</v>
      </c>
      <c r="D81" s="35"/>
      <c r="E81" s="35">
        <v>44550</v>
      </c>
      <c r="F81" s="5" t="s">
        <v>160</v>
      </c>
      <c r="G81" s="49">
        <v>12.5</v>
      </c>
      <c r="H81" s="5">
        <v>13.4</v>
      </c>
      <c r="I81" s="5">
        <f>83/30*24</f>
        <v>66.400000000000006</v>
      </c>
      <c r="J81" s="5"/>
      <c r="K81" s="5"/>
      <c r="L81" s="6">
        <v>140</v>
      </c>
      <c r="M81" s="61">
        <v>94</v>
      </c>
      <c r="N81" s="6">
        <f>12.5+(140-12.5-94)*0.7</f>
        <v>35.950000000000003</v>
      </c>
    </row>
    <row r="82" spans="1:14">
      <c r="A82" s="44" t="s">
        <v>149</v>
      </c>
      <c r="B82" s="44"/>
      <c r="C82" s="35">
        <v>44880</v>
      </c>
      <c r="D82" s="35"/>
      <c r="E82" s="35">
        <v>44575</v>
      </c>
      <c r="F82" s="40"/>
      <c r="G82" s="49"/>
      <c r="H82" s="5">
        <v>13.4</v>
      </c>
      <c r="I82" s="5"/>
      <c r="J82" s="5">
        <v>50</v>
      </c>
      <c r="K82" s="5"/>
      <c r="L82" s="6">
        <v>160</v>
      </c>
      <c r="M82" s="61">
        <f>71+9</f>
        <v>80</v>
      </c>
      <c r="N82" s="6">
        <f>(160-80)*0.7</f>
        <v>56</v>
      </c>
    </row>
    <row r="83" spans="1:14">
      <c r="A83" s="44" t="s">
        <v>146</v>
      </c>
      <c r="B83" s="44"/>
      <c r="C83" s="4">
        <v>44586</v>
      </c>
      <c r="D83" s="4"/>
      <c r="E83" s="4">
        <v>44615</v>
      </c>
      <c r="F83" s="10" t="s">
        <v>161</v>
      </c>
      <c r="G83" s="12">
        <v>12.5</v>
      </c>
      <c r="H83" s="5">
        <v>15.46</v>
      </c>
      <c r="I83" s="5">
        <f>27/30*28</f>
        <v>25.2</v>
      </c>
      <c r="J83" s="5">
        <v>110</v>
      </c>
      <c r="K83" s="5"/>
      <c r="L83" s="6">
        <v>154</v>
      </c>
      <c r="M83" s="61">
        <v>62</v>
      </c>
      <c r="N83" s="6">
        <f>12.5+(154-12.5-62)*0.7</f>
        <v>68.150000000000006</v>
      </c>
    </row>
    <row r="84" spans="1:14">
      <c r="A84" s="44" t="s">
        <v>148</v>
      </c>
      <c r="B84" s="44"/>
      <c r="C84" s="4">
        <v>44579</v>
      </c>
      <c r="D84" s="4"/>
      <c r="E84" s="4">
        <v>44594</v>
      </c>
      <c r="F84" s="40"/>
      <c r="G84" s="49"/>
      <c r="H84" s="5">
        <v>13.4</v>
      </c>
      <c r="I84" s="5">
        <f>22/30*14</f>
        <v>10.266666666666666</v>
      </c>
      <c r="J84" s="5">
        <v>30</v>
      </c>
      <c r="K84" s="5"/>
      <c r="L84" s="6">
        <v>50</v>
      </c>
      <c r="M84" s="61">
        <v>22</v>
      </c>
      <c r="N84" s="6">
        <f>(50-22)*0.7</f>
        <v>19.599999999999998</v>
      </c>
    </row>
    <row r="85" spans="1:14">
      <c r="A85" s="44" t="s">
        <v>150</v>
      </c>
      <c r="B85" s="44"/>
      <c r="C85" s="4">
        <v>44899</v>
      </c>
      <c r="D85" s="4"/>
      <c r="E85" s="4">
        <v>44607</v>
      </c>
      <c r="F85" s="12" t="s">
        <v>160</v>
      </c>
      <c r="G85" s="12">
        <v>12.5</v>
      </c>
      <c r="H85" s="5">
        <v>13.4</v>
      </c>
      <c r="I85" s="5">
        <f>71/30*61</f>
        <v>144.36666666666667</v>
      </c>
      <c r="J85" s="5">
        <v>80</v>
      </c>
      <c r="K85" s="5"/>
      <c r="L85" s="6">
        <v>120</v>
      </c>
      <c r="M85" s="61">
        <v>60</v>
      </c>
      <c r="N85" s="6">
        <f>12.5+(120-72.5)*0.7</f>
        <v>45.75</v>
      </c>
    </row>
    <row r="86" spans="1:14">
      <c r="A86" s="44" t="s">
        <v>151</v>
      </c>
      <c r="B86" s="44"/>
      <c r="C86" s="4">
        <v>44926</v>
      </c>
      <c r="D86" s="4"/>
      <c r="E86" s="4">
        <v>44649</v>
      </c>
      <c r="F86" s="40"/>
      <c r="G86" s="40"/>
      <c r="H86" s="5">
        <v>9.0299999999999994</v>
      </c>
      <c r="I86" s="5">
        <f>25*2+25/30*29</f>
        <v>74.166666666666671</v>
      </c>
      <c r="J86" s="5">
        <v>80</v>
      </c>
      <c r="K86" s="5"/>
      <c r="L86" s="6">
        <v>67.5</v>
      </c>
      <c r="M86" s="61">
        <v>25</v>
      </c>
      <c r="N86" s="6">
        <f>(67.5-25)*0.7</f>
        <v>29.749999999999996</v>
      </c>
    </row>
    <row r="87" spans="1:14">
      <c r="A87" s="44" t="s">
        <v>152</v>
      </c>
      <c r="B87" s="44"/>
      <c r="C87" s="4">
        <v>44852</v>
      </c>
      <c r="D87" s="4"/>
      <c r="E87" s="4">
        <v>44649</v>
      </c>
      <c r="F87" s="40"/>
      <c r="G87" s="40"/>
      <c r="H87" s="5">
        <v>9.0299999999999994</v>
      </c>
      <c r="I87" s="5">
        <f>45*4+45/30*13</f>
        <v>199.5</v>
      </c>
      <c r="J87" s="5">
        <v>80</v>
      </c>
      <c r="K87" s="5"/>
      <c r="L87" s="6">
        <v>67.5</v>
      </c>
      <c r="M87" s="61">
        <v>45</v>
      </c>
      <c r="N87" s="6">
        <f>(L87-M87)*0.7</f>
        <v>15.749999999999998</v>
      </c>
    </row>
    <row r="88" spans="1:14">
      <c r="A88" s="44" t="s">
        <v>153</v>
      </c>
      <c r="B88" s="44"/>
      <c r="C88" s="4">
        <v>44623</v>
      </c>
      <c r="D88" s="4"/>
      <c r="E88" s="4">
        <v>44623</v>
      </c>
      <c r="F88" s="40"/>
      <c r="G88" s="40"/>
      <c r="H88" s="5">
        <v>11.03</v>
      </c>
      <c r="I88" s="5">
        <v>0</v>
      </c>
      <c r="J88" s="5">
        <v>15</v>
      </c>
      <c r="K88" s="5"/>
      <c r="L88" s="6">
        <v>30</v>
      </c>
      <c r="M88" s="61">
        <v>12</v>
      </c>
      <c r="N88" s="6">
        <f>(L88-M88)*0.7</f>
        <v>12.6</v>
      </c>
    </row>
    <row r="89" spans="1:14">
      <c r="A89" s="44" t="s">
        <v>154</v>
      </c>
      <c r="B89" s="44"/>
      <c r="C89" s="4">
        <v>44881</v>
      </c>
      <c r="D89" s="4"/>
      <c r="E89" s="4">
        <v>44628</v>
      </c>
      <c r="F89" s="40"/>
      <c r="G89" s="40"/>
      <c r="H89" s="5">
        <v>9.0299999999999994</v>
      </c>
      <c r="I89" s="5">
        <f>65*3+65/30*22</f>
        <v>242.66666666666666</v>
      </c>
      <c r="J89" s="5">
        <v>95</v>
      </c>
      <c r="K89" s="5"/>
      <c r="L89" s="6">
        <v>112</v>
      </c>
      <c r="M89" s="61">
        <v>65</v>
      </c>
      <c r="N89" s="6">
        <f>(L89-M89)*0.7</f>
        <v>32.9</v>
      </c>
    </row>
    <row r="90" spans="1:14">
      <c r="A90" s="44" t="s">
        <v>155</v>
      </c>
      <c r="B90" s="44"/>
      <c r="C90" s="4">
        <v>44490</v>
      </c>
      <c r="D90" s="4"/>
      <c r="E90" s="4">
        <v>44648</v>
      </c>
      <c r="F90" s="40"/>
      <c r="G90" s="40"/>
      <c r="H90" s="5">
        <v>13.4</v>
      </c>
      <c r="I90" s="5">
        <f>45*5+45/30*7</f>
        <v>235.5</v>
      </c>
      <c r="J90" s="5">
        <v>80</v>
      </c>
      <c r="K90" s="5"/>
      <c r="L90" s="6">
        <v>67.5</v>
      </c>
      <c r="M90" s="61">
        <v>45</v>
      </c>
      <c r="N90" s="6">
        <f>(L90-M90)*0.7</f>
        <v>15.749999999999998</v>
      </c>
    </row>
    <row r="91" spans="1:14">
      <c r="A91" s="44" t="s">
        <v>156</v>
      </c>
      <c r="B91" s="44"/>
      <c r="C91" s="4">
        <v>44489</v>
      </c>
      <c r="D91" s="4"/>
      <c r="E91" s="4">
        <v>44651</v>
      </c>
      <c r="F91" s="40"/>
      <c r="G91" s="40"/>
      <c r="H91" s="5">
        <v>15.46</v>
      </c>
      <c r="I91" s="5">
        <f>50*5+50/10</f>
        <v>255</v>
      </c>
      <c r="J91" s="5">
        <v>145</v>
      </c>
      <c r="K91" s="5"/>
      <c r="L91" s="6">
        <v>125</v>
      </c>
      <c r="M91" s="61">
        <v>50</v>
      </c>
      <c r="N91" s="6">
        <f>(L91-M91)*0.7</f>
        <v>52.5</v>
      </c>
    </row>
    <row r="92" spans="1:14">
      <c r="A92" s="44" t="s">
        <v>157</v>
      </c>
      <c r="B92" s="44"/>
      <c r="C92" s="4">
        <v>44627</v>
      </c>
      <c r="D92" s="4"/>
      <c r="E92" s="4">
        <v>44627</v>
      </c>
      <c r="F92" s="10" t="s">
        <v>161</v>
      </c>
      <c r="G92" s="12">
        <v>10</v>
      </c>
      <c r="H92" s="5">
        <v>15.46</v>
      </c>
      <c r="I92" s="5">
        <v>0</v>
      </c>
      <c r="J92" s="5">
        <v>0</v>
      </c>
      <c r="K92" s="5"/>
      <c r="L92" s="6">
        <v>100</v>
      </c>
      <c r="M92" s="61">
        <v>44</v>
      </c>
      <c r="N92" s="6">
        <f>10+(46)*0.7</f>
        <v>42.199999999999996</v>
      </c>
    </row>
    <row r="93" spans="1:14">
      <c r="A93" s="44" t="s">
        <v>158</v>
      </c>
      <c r="B93" s="44"/>
      <c r="C93" s="4">
        <v>44627</v>
      </c>
      <c r="D93" s="4"/>
      <c r="E93" s="4">
        <v>44627</v>
      </c>
      <c r="F93" s="10" t="s">
        <v>161</v>
      </c>
      <c r="G93" s="12">
        <v>12.5</v>
      </c>
      <c r="H93" s="5">
        <v>15.46</v>
      </c>
      <c r="I93" s="5">
        <v>0</v>
      </c>
      <c r="J93" s="5">
        <v>0</v>
      </c>
      <c r="K93" s="5"/>
      <c r="L93" s="6">
        <v>125</v>
      </c>
      <c r="M93" s="61">
        <v>55</v>
      </c>
      <c r="N93" s="6">
        <f>12.5+(57.5)*0.7</f>
        <v>52.75</v>
      </c>
    </row>
    <row r="94" spans="1:14">
      <c r="A94" s="44" t="s">
        <v>168</v>
      </c>
      <c r="B94" s="44"/>
      <c r="C94" s="4">
        <v>44636</v>
      </c>
      <c r="D94" s="4"/>
      <c r="E94" s="4">
        <v>44659</v>
      </c>
      <c r="F94" s="40"/>
      <c r="G94" s="5"/>
      <c r="H94" s="5">
        <v>13.72</v>
      </c>
      <c r="I94" s="5">
        <f>55/30*24</f>
        <v>44</v>
      </c>
      <c r="J94" s="5">
        <v>80</v>
      </c>
      <c r="K94" s="5"/>
      <c r="L94" s="6">
        <v>120</v>
      </c>
      <c r="M94" s="61">
        <v>55</v>
      </c>
      <c r="N94" s="6">
        <f>10+(110-M94)*0.7</f>
        <v>48.5</v>
      </c>
    </row>
    <row r="95" spans="1:14">
      <c r="A95" s="44" t="s">
        <v>171</v>
      </c>
      <c r="B95" s="44"/>
      <c r="C95" s="4">
        <v>44648</v>
      </c>
      <c r="D95" s="4"/>
      <c r="E95" s="4">
        <v>44734</v>
      </c>
      <c r="F95" s="40"/>
      <c r="G95" s="5"/>
      <c r="H95" s="5">
        <v>13.72</v>
      </c>
      <c r="I95" s="5">
        <f>56/30*84</f>
        <v>156.80000000000001</v>
      </c>
      <c r="J95" s="5">
        <v>95</v>
      </c>
      <c r="K95" s="5"/>
      <c r="L95" s="6">
        <v>140</v>
      </c>
      <c r="M95" s="61">
        <v>56</v>
      </c>
      <c r="N95" s="6">
        <f>(140-56)*0.7</f>
        <v>58.8</v>
      </c>
    </row>
    <row r="96" spans="1:14">
      <c r="A96" s="44" t="s">
        <v>172</v>
      </c>
      <c r="B96" s="44"/>
      <c r="C96" s="4">
        <v>44705</v>
      </c>
      <c r="D96" s="4"/>
      <c r="E96" s="4">
        <v>44715</v>
      </c>
      <c r="F96" s="40"/>
      <c r="G96" s="5"/>
      <c r="H96" s="5">
        <v>10.039999999999999</v>
      </c>
      <c r="I96" s="5">
        <f>25/30*9</f>
        <v>7.5</v>
      </c>
      <c r="J96" s="5"/>
      <c r="K96" s="5"/>
      <c r="L96" s="6">
        <v>50</v>
      </c>
      <c r="M96" s="61">
        <v>25</v>
      </c>
      <c r="N96" s="6">
        <f>(50-25)*0.7</f>
        <v>17.5</v>
      </c>
    </row>
    <row r="97" spans="1:14">
      <c r="A97" s="44" t="s">
        <v>173</v>
      </c>
      <c r="B97" s="44"/>
      <c r="C97" s="4">
        <v>44704</v>
      </c>
      <c r="D97" s="4"/>
      <c r="E97" s="4">
        <v>44721</v>
      </c>
      <c r="F97" s="10" t="s">
        <v>161</v>
      </c>
      <c r="G97" s="56">
        <v>12.5</v>
      </c>
      <c r="H97" s="5">
        <v>13.72</v>
      </c>
      <c r="I97" s="5">
        <f>37/30*16</f>
        <v>19.733333333333334</v>
      </c>
      <c r="J97" s="5">
        <f>50+45</f>
        <v>95</v>
      </c>
      <c r="K97" s="5"/>
      <c r="L97" s="6">
        <v>110</v>
      </c>
      <c r="M97" s="61">
        <v>37</v>
      </c>
      <c r="N97" s="56">
        <f>12.5+(97.5-37)*0.7</f>
        <v>54.849999999999994</v>
      </c>
    </row>
    <row r="98" spans="1:14">
      <c r="A98" s="44" t="s">
        <v>174</v>
      </c>
      <c r="B98" s="44"/>
      <c r="C98" s="4">
        <v>44715</v>
      </c>
      <c r="D98" s="4"/>
      <c r="E98" s="4">
        <v>44820</v>
      </c>
      <c r="F98" s="10" t="s">
        <v>161</v>
      </c>
      <c r="G98" s="56">
        <v>15</v>
      </c>
      <c r="H98" s="5">
        <v>14.6</v>
      </c>
      <c r="I98" s="5">
        <f>56/30*103</f>
        <v>192.26666666666668</v>
      </c>
      <c r="J98" s="5">
        <v>50</v>
      </c>
      <c r="K98" s="5"/>
      <c r="L98" s="6">
        <f>130</f>
        <v>130</v>
      </c>
      <c r="M98" s="61">
        <v>56</v>
      </c>
      <c r="N98" s="56">
        <f>15+(115-56)*0.7</f>
        <v>56.3</v>
      </c>
    </row>
    <row r="99" spans="1:14">
      <c r="A99" s="44" t="s">
        <v>183</v>
      </c>
      <c r="B99" s="44"/>
      <c r="C99" s="4">
        <v>44749</v>
      </c>
      <c r="D99" s="4">
        <v>44830</v>
      </c>
      <c r="E99" s="4">
        <v>44858</v>
      </c>
      <c r="F99" s="40"/>
      <c r="G99" s="5"/>
      <c r="H99" s="5">
        <v>11.03</v>
      </c>
      <c r="I99" s="5">
        <v>25</v>
      </c>
      <c r="J99" s="5">
        <v>15</v>
      </c>
      <c r="K99" s="5"/>
      <c r="L99" s="6">
        <v>80</v>
      </c>
      <c r="M99" s="61">
        <v>25</v>
      </c>
      <c r="N99" s="6">
        <f>55*0.7</f>
        <v>38.5</v>
      </c>
    </row>
    <row r="100" spans="1:14">
      <c r="A100" s="44" t="s">
        <v>184</v>
      </c>
      <c r="B100" s="44"/>
      <c r="C100" s="4">
        <v>44775</v>
      </c>
      <c r="D100" s="4">
        <v>44810</v>
      </c>
      <c r="E100" s="4">
        <v>44848</v>
      </c>
      <c r="F100" s="40"/>
      <c r="G100" s="5"/>
      <c r="H100" s="5">
        <v>23.38</v>
      </c>
      <c r="I100" s="5">
        <f>100/30*38</f>
        <v>126.66666666666667</v>
      </c>
      <c r="J100" s="5">
        <v>155</v>
      </c>
      <c r="K100" s="5"/>
      <c r="L100" s="6">
        <v>220</v>
      </c>
      <c r="M100" s="61">
        <v>100</v>
      </c>
      <c r="N100" s="6">
        <v>90.75</v>
      </c>
    </row>
    <row r="101" spans="1:14">
      <c r="A101" s="44" t="s">
        <v>185</v>
      </c>
      <c r="B101" s="44"/>
      <c r="C101" s="4">
        <v>44830</v>
      </c>
      <c r="D101" s="4">
        <v>44852</v>
      </c>
      <c r="E101" s="4">
        <v>44858</v>
      </c>
      <c r="F101" s="10" t="s">
        <v>161</v>
      </c>
      <c r="G101" s="12">
        <v>12.5</v>
      </c>
      <c r="H101" s="5">
        <v>23.38</v>
      </c>
      <c r="I101" s="5">
        <f>54.5/30*6</f>
        <v>10.9</v>
      </c>
      <c r="J101" s="5">
        <v>95</v>
      </c>
      <c r="K101" s="5"/>
      <c r="L101" s="6">
        <v>140</v>
      </c>
      <c r="M101" s="61">
        <v>55.5</v>
      </c>
      <c r="N101" s="6">
        <f>12.5+(127.5-55.5)*0.7</f>
        <v>62.9</v>
      </c>
    </row>
    <row r="102" spans="1:14">
      <c r="A102" s="44" t="s">
        <v>190</v>
      </c>
      <c r="B102" s="44"/>
      <c r="C102" s="4"/>
      <c r="D102" s="4">
        <v>44879</v>
      </c>
      <c r="E102" s="35">
        <v>44887</v>
      </c>
      <c r="F102" s="44" t="s">
        <v>161</v>
      </c>
      <c r="G102" s="56">
        <v>10</v>
      </c>
      <c r="H102" s="5">
        <v>14.6</v>
      </c>
      <c r="I102" s="5">
        <f>34/30*8</f>
        <v>9.0666666666666664</v>
      </c>
      <c r="J102" s="5">
        <v>45</v>
      </c>
      <c r="K102" s="5"/>
      <c r="L102" s="6">
        <v>90</v>
      </c>
      <c r="M102" s="61">
        <v>34</v>
      </c>
      <c r="N102" s="56">
        <f>10+(80-34)*0.7</f>
        <v>42.199999999999996</v>
      </c>
    </row>
    <row r="103" spans="1:14">
      <c r="A103" s="44" t="s">
        <v>193</v>
      </c>
      <c r="B103" s="44"/>
      <c r="C103" s="4">
        <v>44872</v>
      </c>
      <c r="D103" s="4">
        <v>44879</v>
      </c>
      <c r="E103" s="35">
        <v>44882</v>
      </c>
      <c r="F103" s="40"/>
      <c r="G103" s="5"/>
      <c r="H103" s="5">
        <v>10.039999999999999</v>
      </c>
      <c r="I103" s="5">
        <f>25/30*3</f>
        <v>2.5</v>
      </c>
      <c r="J103" s="5"/>
      <c r="K103" s="5"/>
      <c r="L103" s="6">
        <v>40</v>
      </c>
      <c r="M103" s="61">
        <v>25</v>
      </c>
      <c r="N103" s="6">
        <f>(L103-M103)*0.7</f>
        <v>10.5</v>
      </c>
    </row>
    <row r="104" spans="1:14">
      <c r="A104" s="44" t="s">
        <v>213</v>
      </c>
      <c r="B104" s="44"/>
      <c r="C104" s="4">
        <v>44894</v>
      </c>
      <c r="D104" s="4">
        <v>44908</v>
      </c>
      <c r="E104" s="35">
        <v>44944</v>
      </c>
      <c r="F104" s="40" t="s">
        <v>161</v>
      </c>
      <c r="G104" s="5">
        <v>15</v>
      </c>
      <c r="H104" s="5">
        <v>31.72</v>
      </c>
      <c r="I104" s="5">
        <f>50/30*35</f>
        <v>58.333333333333336</v>
      </c>
      <c r="J104" s="5">
        <f>60+50</f>
        <v>110</v>
      </c>
      <c r="K104" s="5"/>
      <c r="L104" s="6">
        <v>130</v>
      </c>
      <c r="M104" s="61">
        <f>19+2+3.5*2+11*2</f>
        <v>50</v>
      </c>
      <c r="N104" s="94">
        <f>15+(L104-M104-15)*0.7</f>
        <v>60.5</v>
      </c>
    </row>
    <row r="105" spans="1:14">
      <c r="A105" s="44" t="s">
        <v>227</v>
      </c>
      <c r="B105" s="44"/>
      <c r="C105" s="4">
        <v>44949</v>
      </c>
      <c r="D105" s="4">
        <v>44953</v>
      </c>
      <c r="E105" s="35">
        <v>44966</v>
      </c>
      <c r="F105" s="40" t="s">
        <v>160</v>
      </c>
      <c r="G105" s="5">
        <v>15</v>
      </c>
      <c r="H105" s="5">
        <v>16.38</v>
      </c>
      <c r="I105" s="5">
        <f>61.5/30*12</f>
        <v>24.599999999999998</v>
      </c>
      <c r="J105" s="5">
        <f>50+60</f>
        <v>110</v>
      </c>
      <c r="K105" s="5"/>
      <c r="L105" s="6">
        <v>160</v>
      </c>
      <c r="M105" s="65">
        <f>32.5+7+22</f>
        <v>61.5</v>
      </c>
      <c r="N105" s="59">
        <f>15+(L105-M105-15)*0.7</f>
        <v>73.449999999999989</v>
      </c>
    </row>
    <row r="106" spans="1:14">
      <c r="A106" s="44" t="s">
        <v>228</v>
      </c>
      <c r="B106" s="44"/>
      <c r="C106" s="4">
        <v>44957</v>
      </c>
      <c r="D106" s="4">
        <v>44957</v>
      </c>
      <c r="E106" s="35">
        <v>44977</v>
      </c>
      <c r="F106" s="40"/>
      <c r="G106" s="5"/>
      <c r="H106" s="5">
        <v>20.61</v>
      </c>
      <c r="I106" s="5">
        <f>66/30*20</f>
        <v>44</v>
      </c>
      <c r="J106" s="5">
        <v>90</v>
      </c>
      <c r="K106" s="5"/>
      <c r="L106" s="6">
        <v>155</v>
      </c>
      <c r="M106" s="65">
        <v>54</v>
      </c>
      <c r="N106" s="59">
        <f>(L106-M106)*0.7</f>
        <v>70.699999999999989</v>
      </c>
    </row>
    <row r="107" spans="1:14">
      <c r="A107" s="44" t="s">
        <v>255</v>
      </c>
      <c r="B107" s="44"/>
      <c r="C107" s="35">
        <v>44691</v>
      </c>
      <c r="D107" s="35">
        <v>44994</v>
      </c>
      <c r="E107" s="4">
        <v>44994</v>
      </c>
      <c r="F107" s="40"/>
      <c r="G107" s="40"/>
      <c r="H107" s="5">
        <v>11.03</v>
      </c>
      <c r="I107" s="40">
        <f>25*14</f>
        <v>350</v>
      </c>
      <c r="J107" s="40">
        <f>30+50</f>
        <v>80</v>
      </c>
      <c r="K107" s="40"/>
      <c r="L107" s="6">
        <v>90</v>
      </c>
      <c r="M107" s="6">
        <v>25</v>
      </c>
      <c r="N107" s="59">
        <v>48.5</v>
      </c>
    </row>
    <row r="108" spans="1:14">
      <c r="A108" s="44" t="s">
        <v>187</v>
      </c>
      <c r="B108" s="44"/>
      <c r="C108" s="35"/>
      <c r="D108" s="35">
        <v>44991</v>
      </c>
      <c r="E108" s="4">
        <v>44991</v>
      </c>
      <c r="F108" s="40"/>
      <c r="G108" s="40"/>
      <c r="H108" s="5">
        <v>13.31</v>
      </c>
      <c r="I108" s="40"/>
      <c r="J108" s="40">
        <v>45</v>
      </c>
      <c r="K108" s="40"/>
      <c r="L108" s="6">
        <v>80</v>
      </c>
      <c r="M108" s="6">
        <v>27</v>
      </c>
      <c r="N108" s="59">
        <f>(L108-M108)*0.7</f>
        <v>37.099999999999994</v>
      </c>
    </row>
    <row r="109" spans="1:14">
      <c r="A109" s="76" t="s">
        <v>276</v>
      </c>
      <c r="B109" s="44"/>
      <c r="C109" s="35">
        <v>45061</v>
      </c>
      <c r="D109" s="35">
        <v>45070</v>
      </c>
      <c r="E109" s="4"/>
      <c r="F109" s="40"/>
      <c r="G109" s="40"/>
      <c r="H109" s="5">
        <v>11.48</v>
      </c>
      <c r="I109" s="40">
        <f>21/30*9</f>
        <v>6.3</v>
      </c>
      <c r="J109" s="40"/>
      <c r="K109" s="40"/>
      <c r="L109" s="17">
        <f>50</f>
        <v>50</v>
      </c>
      <c r="M109" s="18">
        <v>21</v>
      </c>
      <c r="N109" s="70">
        <f>(50-21)*0.7</f>
        <v>20.299999999999997</v>
      </c>
    </row>
    <row r="110" spans="1:14">
      <c r="A110" s="76" t="s">
        <v>279</v>
      </c>
      <c r="B110" s="44"/>
      <c r="C110" s="35">
        <v>45065</v>
      </c>
      <c r="D110" s="35">
        <v>45070</v>
      </c>
      <c r="E110" s="4"/>
      <c r="F110" s="40"/>
      <c r="G110" s="40"/>
      <c r="H110" s="5">
        <v>11.48</v>
      </c>
      <c r="I110" s="40">
        <f>21/30*5</f>
        <v>3.5</v>
      </c>
      <c r="J110" s="40"/>
      <c r="K110" s="40"/>
      <c r="L110" s="17">
        <f>50</f>
        <v>50</v>
      </c>
      <c r="M110" s="18">
        <v>21</v>
      </c>
      <c r="N110" s="70">
        <f>(50-21)*0.7</f>
        <v>20.299999999999997</v>
      </c>
    </row>
    <row r="111" spans="1:14">
      <c r="A111" s="76" t="s">
        <v>278</v>
      </c>
      <c r="B111" s="52"/>
      <c r="C111" s="57">
        <v>44973</v>
      </c>
      <c r="D111" s="57">
        <v>45070</v>
      </c>
      <c r="E111" s="24"/>
      <c r="F111" s="48"/>
      <c r="G111" s="48"/>
      <c r="H111" s="25">
        <v>11.48</v>
      </c>
      <c r="I111" s="48">
        <f>21/30*98</f>
        <v>68.599999999999994</v>
      </c>
      <c r="J111" s="48"/>
      <c r="K111" s="48"/>
      <c r="L111" s="17">
        <v>50</v>
      </c>
      <c r="M111" s="26">
        <v>21</v>
      </c>
      <c r="N111" s="85">
        <f>(50-21)*0.7</f>
        <v>20.299999999999997</v>
      </c>
    </row>
    <row r="112" spans="1:14">
      <c r="A112" s="44" t="s">
        <v>289</v>
      </c>
      <c r="B112" s="44"/>
      <c r="C112" s="35">
        <v>45110</v>
      </c>
      <c r="D112" s="35">
        <v>45127</v>
      </c>
      <c r="E112" s="4">
        <v>45110</v>
      </c>
      <c r="F112" s="40"/>
      <c r="G112" s="40"/>
      <c r="H112" s="5">
        <v>13.31</v>
      </c>
      <c r="I112" s="40">
        <f>27/30*17</f>
        <v>15.3</v>
      </c>
      <c r="J112" s="40">
        <v>45</v>
      </c>
      <c r="K112" s="40"/>
      <c r="L112" s="6">
        <v>75</v>
      </c>
      <c r="M112" s="6">
        <v>27</v>
      </c>
      <c r="N112" s="59">
        <f>(L112-M112)*0.7</f>
        <v>33.599999999999994</v>
      </c>
    </row>
    <row r="113" spans="1:15">
      <c r="A113" s="44" t="s">
        <v>292</v>
      </c>
      <c r="B113" s="44"/>
      <c r="C113" s="35">
        <v>45138</v>
      </c>
      <c r="D113" s="35">
        <v>45139</v>
      </c>
      <c r="E113" s="35">
        <v>45162</v>
      </c>
      <c r="F113" s="40"/>
      <c r="G113" s="40"/>
      <c r="H113" s="5">
        <v>12.48</v>
      </c>
      <c r="I113" s="40">
        <f>27/30*23</f>
        <v>20.7</v>
      </c>
      <c r="J113" s="40">
        <v>45</v>
      </c>
      <c r="K113" s="40"/>
      <c r="L113" s="6">
        <v>90</v>
      </c>
      <c r="M113" s="6">
        <v>27</v>
      </c>
      <c r="N113" s="59">
        <f>(L113-M113)*0.7</f>
        <v>44.099999999999994</v>
      </c>
    </row>
    <row r="114" spans="1:15">
      <c r="A114" s="44" t="s">
        <v>293</v>
      </c>
      <c r="B114" s="44"/>
      <c r="C114" s="35">
        <v>45086</v>
      </c>
      <c r="D114" s="35">
        <v>45089</v>
      </c>
      <c r="E114" s="4">
        <v>45103</v>
      </c>
      <c r="F114" s="40"/>
      <c r="G114" s="40"/>
      <c r="H114" s="5">
        <v>11.03</v>
      </c>
      <c r="I114" s="40">
        <f>21/30*14</f>
        <v>9.7999999999999989</v>
      </c>
      <c r="J114" s="40"/>
      <c r="K114" s="40"/>
      <c r="L114" s="6">
        <v>50</v>
      </c>
      <c r="M114" s="6">
        <v>21</v>
      </c>
      <c r="N114" s="59">
        <f>(L114-M114)*0.7</f>
        <v>20.299999999999997</v>
      </c>
    </row>
    <row r="115" spans="1:15">
      <c r="A115" s="10" t="s">
        <v>295</v>
      </c>
      <c r="B115" s="44"/>
      <c r="C115" s="35">
        <v>45228</v>
      </c>
      <c r="D115" s="35">
        <v>45203</v>
      </c>
      <c r="E115" s="4"/>
      <c r="F115" s="40"/>
      <c r="G115" s="40"/>
      <c r="H115" s="5">
        <v>13.31</v>
      </c>
      <c r="I115" s="40">
        <f>27/30*5</f>
        <v>4.5</v>
      </c>
      <c r="J115" s="40">
        <v>45</v>
      </c>
      <c r="K115" s="40"/>
      <c r="L115" s="6">
        <v>80</v>
      </c>
      <c r="M115" s="6">
        <v>27</v>
      </c>
      <c r="N115" s="59">
        <f>(L115-M115)*0.7/30*26</f>
        <v>32.153333333333329</v>
      </c>
    </row>
    <row r="116" spans="1:15">
      <c r="A116" s="10" t="s">
        <v>320</v>
      </c>
      <c r="B116" s="44"/>
      <c r="C116" s="35">
        <v>45177</v>
      </c>
      <c r="D116" s="35">
        <v>45196</v>
      </c>
      <c r="E116" s="4"/>
      <c r="F116" s="40"/>
      <c r="G116" s="40"/>
      <c r="H116" s="5">
        <v>10.44</v>
      </c>
      <c r="I116" s="40">
        <f>38/30*21-50</f>
        <v>-23.400000000000002</v>
      </c>
      <c r="J116" s="40"/>
      <c r="K116" s="40"/>
      <c r="L116" s="6">
        <v>69</v>
      </c>
      <c r="M116" s="6">
        <v>38</v>
      </c>
      <c r="N116" s="59">
        <f>(69-38)*0.7/30*33</f>
        <v>23.869999999999997</v>
      </c>
      <c r="O116" t="s">
        <v>321</v>
      </c>
    </row>
    <row r="117" spans="1:15">
      <c r="A117" s="10" t="s">
        <v>326</v>
      </c>
      <c r="B117" s="44"/>
      <c r="C117" s="35"/>
      <c r="D117" s="35">
        <v>45188</v>
      </c>
      <c r="E117" s="4">
        <v>45209</v>
      </c>
      <c r="F117" s="40"/>
      <c r="G117" s="40"/>
      <c r="H117" s="5">
        <v>11.48</v>
      </c>
      <c r="I117" s="40"/>
      <c r="J117" s="40"/>
      <c r="K117" s="40"/>
      <c r="L117" s="6">
        <v>59</v>
      </c>
      <c r="M117" s="6">
        <v>38</v>
      </c>
      <c r="N117" s="59">
        <f>(L117-M117)*0.7/30*20</f>
        <v>9.8000000000000007</v>
      </c>
    </row>
    <row r="118" spans="1:15">
      <c r="A118" s="46"/>
      <c r="C118" s="36"/>
      <c r="D118" s="36"/>
      <c r="F118" s="28"/>
      <c r="G118" s="28"/>
      <c r="H118" s="30"/>
      <c r="I118" s="28"/>
      <c r="M118" s="62" t="s">
        <v>4</v>
      </c>
      <c r="N118" s="18">
        <f>SUM(N2:N117)</f>
        <v>4384.6333333333359</v>
      </c>
    </row>
    <row r="119" spans="1:15">
      <c r="C119" s="36"/>
      <c r="D119" s="36"/>
      <c r="F119" s="28"/>
      <c r="G119" s="28"/>
      <c r="H119" s="30"/>
      <c r="I119" s="28"/>
      <c r="M119" s="61" t="s">
        <v>251</v>
      </c>
      <c r="N119" s="6">
        <f>N118-61.33</f>
        <v>4323.303333333336</v>
      </c>
    </row>
    <row r="120" spans="1:15">
      <c r="C120" s="36"/>
      <c r="D120" s="36"/>
      <c r="F120" s="28"/>
      <c r="G120" s="28"/>
      <c r="H120" s="30"/>
      <c r="I120" s="28"/>
    </row>
    <row r="122" spans="1:15">
      <c r="A122" s="28"/>
      <c r="B122" s="28"/>
      <c r="E122" s="15"/>
      <c r="F122" s="1"/>
      <c r="G122" s="1"/>
      <c r="H122" s="1"/>
      <c r="I122" s="1"/>
      <c r="J122" s="1"/>
      <c r="K122" s="1"/>
      <c r="L122" s="1"/>
      <c r="M122" s="1" t="s">
        <v>297</v>
      </c>
      <c r="N122" s="29">
        <v>292.54000000000002</v>
      </c>
    </row>
    <row r="123" spans="1:15">
      <c r="L123" s="1"/>
      <c r="M123" s="1" t="s">
        <v>322</v>
      </c>
    </row>
    <row r="124" spans="1:15">
      <c r="H124" s="30"/>
      <c r="L124" s="1"/>
      <c r="M124" t="s">
        <v>298</v>
      </c>
    </row>
    <row r="125" spans="1:15">
      <c r="I125" s="42"/>
      <c r="M125" t="s">
        <v>319</v>
      </c>
    </row>
  </sheetData>
  <autoFilter ref="A1:P119">
    <sortState ref="A2:P106">
      <sortCondition ref="B1:B106"/>
    </sortState>
  </autoFilter>
  <pageMargins left="0.7" right="0.7" top="0.75" bottom="0.75" header="0.3" footer="0.3"/>
  <pageSetup paperSize="9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>
  <dimension ref="A1:P125"/>
  <sheetViews>
    <sheetView topLeftCell="B106" workbookViewId="0">
      <selection activeCell="N119" sqref="N119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3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5"/>
      <c r="J2" s="5"/>
      <c r="K2" s="5">
        <f>F2+H2+J2</f>
        <v>10</v>
      </c>
      <c r="L2" s="6">
        <v>40</v>
      </c>
      <c r="M2" s="61">
        <v>25</v>
      </c>
      <c r="N2" s="6">
        <f t="shared" ref="N2:N33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5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5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5"/>
      <c r="J5" s="5"/>
      <c r="K5" s="5"/>
      <c r="L5" s="6">
        <v>50</v>
      </c>
      <c r="M5" s="61">
        <v>22</v>
      </c>
      <c r="N5" s="6">
        <f t="shared" si="0"/>
        <v>19.599999999999998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5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5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5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5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5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5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5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5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5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5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5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5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5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40</v>
      </c>
      <c r="B19" s="2"/>
      <c r="C19" s="4">
        <v>43106</v>
      </c>
      <c r="D19" s="4"/>
      <c r="E19" s="4">
        <v>43146</v>
      </c>
      <c r="F19" s="5"/>
      <c r="G19" s="49"/>
      <c r="H19" s="5">
        <v>8.2899999999999991</v>
      </c>
      <c r="I19" s="5">
        <f>25/30*39</f>
        <v>32.5</v>
      </c>
      <c r="J19" s="5"/>
      <c r="K19" s="5"/>
      <c r="L19" s="6">
        <v>70</v>
      </c>
      <c r="M19" s="61">
        <v>26</v>
      </c>
      <c r="N19" s="6">
        <f t="shared" si="0"/>
        <v>30.799999999999997</v>
      </c>
    </row>
    <row r="20" spans="1:15">
      <c r="A20" s="2" t="s">
        <v>44</v>
      </c>
      <c r="B20" s="2"/>
      <c r="C20" s="4">
        <v>43196</v>
      </c>
      <c r="D20" s="4"/>
      <c r="E20" s="4">
        <v>43250</v>
      </c>
      <c r="F20" s="5"/>
      <c r="G20" s="49"/>
      <c r="H20" s="5">
        <v>13.78</v>
      </c>
      <c r="I20" s="5">
        <f>25*24/30+25</f>
        <v>45</v>
      </c>
      <c r="J20" s="5"/>
      <c r="K20" s="5"/>
      <c r="L20" s="6">
        <v>11</v>
      </c>
      <c r="M20" s="61">
        <v>25</v>
      </c>
      <c r="N20" s="6">
        <v>9.7999999999999989</v>
      </c>
    </row>
    <row r="21" spans="1:15">
      <c r="A21" s="22" t="s">
        <v>47</v>
      </c>
      <c r="B21" s="22"/>
      <c r="C21" s="4">
        <v>43355</v>
      </c>
      <c r="D21" s="4"/>
      <c r="E21" s="4">
        <v>43277</v>
      </c>
      <c r="F21" s="5"/>
      <c r="G21" s="49"/>
      <c r="H21" s="5">
        <v>19.98</v>
      </c>
      <c r="I21" s="5">
        <f>36*2+36/30*16</f>
        <v>91.2</v>
      </c>
      <c r="J21" s="5"/>
      <c r="K21" s="5"/>
      <c r="L21" s="6">
        <v>105</v>
      </c>
      <c r="M21" s="61">
        <v>36</v>
      </c>
      <c r="N21" s="6">
        <f t="shared" si="0"/>
        <v>48.3</v>
      </c>
    </row>
    <row r="22" spans="1:15">
      <c r="A22" s="22" t="s">
        <v>48</v>
      </c>
      <c r="B22" s="22"/>
      <c r="C22" s="4">
        <v>43367</v>
      </c>
      <c r="D22" s="4"/>
      <c r="E22" s="4">
        <v>43284</v>
      </c>
      <c r="F22" s="5"/>
      <c r="G22" s="49"/>
      <c r="H22" s="5">
        <v>9.1</v>
      </c>
      <c r="I22" s="5">
        <f>25+25/30*27</f>
        <v>47.5</v>
      </c>
      <c r="J22" s="5"/>
      <c r="K22" s="5"/>
      <c r="L22" s="6">
        <v>75</v>
      </c>
      <c r="M22" s="61">
        <v>25</v>
      </c>
      <c r="N22" s="6">
        <f t="shared" si="0"/>
        <v>35</v>
      </c>
    </row>
    <row r="23" spans="1:15">
      <c r="A23" s="2" t="s">
        <v>45</v>
      </c>
      <c r="B23" s="2"/>
      <c r="C23" s="4"/>
      <c r="D23" s="4"/>
      <c r="E23" s="4">
        <v>43286</v>
      </c>
      <c r="F23" s="5"/>
      <c r="G23" s="49"/>
      <c r="H23" s="5">
        <v>11.56</v>
      </c>
      <c r="I23" s="5"/>
      <c r="J23" s="5"/>
      <c r="K23" s="5"/>
      <c r="L23" s="6">
        <v>150</v>
      </c>
      <c r="M23" s="61">
        <v>76</v>
      </c>
      <c r="N23" s="6">
        <f t="shared" si="0"/>
        <v>51.8</v>
      </c>
      <c r="O23" s="20"/>
    </row>
    <row r="24" spans="1:15">
      <c r="A24" s="22" t="s">
        <v>49</v>
      </c>
      <c r="B24" s="22"/>
      <c r="C24" s="4">
        <v>43367</v>
      </c>
      <c r="D24" s="4"/>
      <c r="E24" s="4">
        <v>43291</v>
      </c>
      <c r="F24" s="5"/>
      <c r="G24" s="49"/>
      <c r="H24" s="5">
        <v>10.039999999999999</v>
      </c>
      <c r="I24" s="5">
        <f>50+25/30*14</f>
        <v>61.666666666666671</v>
      </c>
      <c r="J24" s="5"/>
      <c r="K24" s="5"/>
      <c r="L24" s="6">
        <v>50</v>
      </c>
      <c r="M24" s="61">
        <v>22</v>
      </c>
      <c r="N24" s="18">
        <f t="shared" si="0"/>
        <v>19.599999999999998</v>
      </c>
    </row>
    <row r="25" spans="1:15">
      <c r="A25" s="22" t="s">
        <v>51</v>
      </c>
      <c r="B25" s="22"/>
      <c r="C25" s="4">
        <v>43358</v>
      </c>
      <c r="D25" s="4"/>
      <c r="E25" s="4">
        <v>43291</v>
      </c>
      <c r="F25" s="5"/>
      <c r="G25" s="49"/>
      <c r="H25" s="5">
        <v>10.039999999999999</v>
      </c>
      <c r="I25" s="5">
        <f>50+25/30*5</f>
        <v>54.166666666666664</v>
      </c>
      <c r="J25" s="5"/>
      <c r="K25" s="5"/>
      <c r="L25" s="6">
        <v>75</v>
      </c>
      <c r="M25" s="61">
        <v>25</v>
      </c>
      <c r="N25" s="6">
        <f t="shared" si="0"/>
        <v>35</v>
      </c>
    </row>
    <row r="26" spans="1:15">
      <c r="A26" s="22" t="s">
        <v>52</v>
      </c>
      <c r="B26" s="22"/>
      <c r="C26" s="4">
        <v>43367</v>
      </c>
      <c r="D26" s="4"/>
      <c r="E26" s="4">
        <v>43308</v>
      </c>
      <c r="F26" s="5"/>
      <c r="G26" s="49"/>
      <c r="H26" s="5">
        <v>10.86</v>
      </c>
      <c r="I26" s="5">
        <f>25+25/30*27</f>
        <v>47.5</v>
      </c>
      <c r="J26" s="5"/>
      <c r="K26" s="5"/>
      <c r="L26" s="6">
        <v>75</v>
      </c>
      <c r="M26" s="61">
        <v>25</v>
      </c>
      <c r="N26" s="27">
        <f t="shared" si="0"/>
        <v>35</v>
      </c>
    </row>
    <row r="27" spans="1:15">
      <c r="A27" s="22" t="s">
        <v>50</v>
      </c>
      <c r="B27" s="22"/>
      <c r="C27" s="4">
        <v>43367</v>
      </c>
      <c r="D27" s="4"/>
      <c r="E27" s="4">
        <v>43312</v>
      </c>
      <c r="F27" s="5"/>
      <c r="G27" s="49"/>
      <c r="H27" s="5">
        <v>10.86</v>
      </c>
      <c r="I27" s="5">
        <f>25+25/30*24</f>
        <v>45</v>
      </c>
      <c r="J27" s="5"/>
      <c r="K27" s="5"/>
      <c r="L27" s="6">
        <v>70</v>
      </c>
      <c r="M27" s="61">
        <v>25</v>
      </c>
      <c r="N27" s="6">
        <f t="shared" si="0"/>
        <v>31.499999999999996</v>
      </c>
    </row>
    <row r="28" spans="1:15">
      <c r="A28" s="22" t="s">
        <v>55</v>
      </c>
      <c r="B28" s="22"/>
      <c r="C28" s="4">
        <v>43363</v>
      </c>
      <c r="D28" s="4"/>
      <c r="E28" s="4">
        <v>43440</v>
      </c>
      <c r="F28" s="5"/>
      <c r="G28" s="49"/>
      <c r="H28" s="5">
        <v>14.11</v>
      </c>
      <c r="I28" s="5">
        <f>25*2+25*16/30</f>
        <v>63.333333333333336</v>
      </c>
      <c r="J28" s="5"/>
      <c r="K28" s="5"/>
      <c r="L28" s="6">
        <v>75</v>
      </c>
      <c r="M28" s="61">
        <v>25</v>
      </c>
      <c r="N28" s="6">
        <f t="shared" si="0"/>
        <v>35</v>
      </c>
    </row>
    <row r="29" spans="1:15">
      <c r="A29" s="22" t="s">
        <v>54</v>
      </c>
      <c r="B29" s="22"/>
      <c r="C29" s="4">
        <v>43167</v>
      </c>
      <c r="D29" s="4"/>
      <c r="E29" s="4">
        <v>43455</v>
      </c>
      <c r="F29" s="5"/>
      <c r="G29" s="49"/>
      <c r="H29" s="5">
        <v>10.86</v>
      </c>
      <c r="I29" s="5">
        <f>9*25+25*13/30</f>
        <v>235.83333333333334</v>
      </c>
      <c r="J29" s="5"/>
      <c r="K29" s="5"/>
      <c r="L29" s="6">
        <v>90</v>
      </c>
      <c r="M29" s="61">
        <v>36</v>
      </c>
      <c r="N29" s="6">
        <f t="shared" si="0"/>
        <v>37.799999999999997</v>
      </c>
    </row>
    <row r="30" spans="1:15">
      <c r="A30" s="22" t="s">
        <v>57</v>
      </c>
      <c r="B30" s="55"/>
      <c r="C30" s="31">
        <v>43478</v>
      </c>
      <c r="D30" s="31"/>
      <c r="E30" s="4">
        <v>43536</v>
      </c>
      <c r="F30" s="5"/>
      <c r="G30" s="49"/>
      <c r="H30" s="5">
        <v>10.86</v>
      </c>
      <c r="I30" s="5">
        <v>25</v>
      </c>
      <c r="J30" s="5"/>
      <c r="K30" s="5"/>
      <c r="L30" s="6">
        <v>70</v>
      </c>
      <c r="M30" s="61">
        <v>25</v>
      </c>
      <c r="N30" s="6">
        <f t="shared" si="0"/>
        <v>31.499999999999996</v>
      </c>
    </row>
    <row r="31" spans="1:15">
      <c r="A31" s="22" t="s">
        <v>59</v>
      </c>
      <c r="B31" s="22"/>
      <c r="C31" s="4">
        <v>43528</v>
      </c>
      <c r="D31" s="4"/>
      <c r="E31" s="4">
        <v>43538</v>
      </c>
      <c r="F31" s="5"/>
      <c r="G31" s="49"/>
      <c r="H31" s="5">
        <v>14.92</v>
      </c>
      <c r="I31" s="5">
        <f>77/30*10</f>
        <v>25.666666666666668</v>
      </c>
      <c r="J31" s="5"/>
      <c r="K31" s="5"/>
      <c r="L31" s="6">
        <v>169</v>
      </c>
      <c r="M31" s="61">
        <f>64+11+2</f>
        <v>77</v>
      </c>
      <c r="N31" s="6">
        <f t="shared" si="0"/>
        <v>64.399999999999991</v>
      </c>
    </row>
    <row r="32" spans="1:15">
      <c r="A32" s="22" t="s">
        <v>58</v>
      </c>
      <c r="B32" s="22"/>
      <c r="C32" s="4">
        <v>43534</v>
      </c>
      <c r="D32" s="4"/>
      <c r="E32" s="4">
        <v>43542</v>
      </c>
      <c r="F32" s="5"/>
      <c r="G32" s="49"/>
      <c r="H32" s="5">
        <f>10.86*2</f>
        <v>21.72</v>
      </c>
      <c r="I32" s="5">
        <v>0</v>
      </c>
      <c r="J32" s="5"/>
      <c r="K32" s="5"/>
      <c r="L32" s="6">
        <v>60</v>
      </c>
      <c r="M32" s="61">
        <v>33</v>
      </c>
      <c r="N32" s="6">
        <v>18.899999999999999</v>
      </c>
    </row>
    <row r="33" spans="1:15">
      <c r="A33" s="22" t="s">
        <v>61</v>
      </c>
      <c r="B33" s="22"/>
      <c r="C33" s="4">
        <v>43482</v>
      </c>
      <c r="D33" s="4"/>
      <c r="E33" s="4">
        <v>43542</v>
      </c>
      <c r="F33" s="5"/>
      <c r="G33" s="49"/>
      <c r="H33" s="5">
        <v>11.1</v>
      </c>
      <c r="I33" s="5">
        <f>25*2</f>
        <v>50</v>
      </c>
      <c r="J33" s="5"/>
      <c r="K33" s="5"/>
      <c r="L33" s="6">
        <v>70</v>
      </c>
      <c r="M33" s="61">
        <v>26</v>
      </c>
      <c r="N33" s="6">
        <f t="shared" si="0"/>
        <v>30.799999999999997</v>
      </c>
    </row>
    <row r="34" spans="1:15">
      <c r="A34" s="22" t="s">
        <v>67</v>
      </c>
      <c r="B34" s="22"/>
      <c r="C34" s="4">
        <v>43600</v>
      </c>
      <c r="D34" s="4"/>
      <c r="E34" s="4">
        <v>43629</v>
      </c>
      <c r="F34" s="5"/>
      <c r="G34" s="49"/>
      <c r="H34" s="5">
        <f>10.86*2</f>
        <v>21.72</v>
      </c>
      <c r="I34" s="5">
        <f>22/30*58</f>
        <v>42.533333333333331</v>
      </c>
      <c r="J34" s="5">
        <v>50</v>
      </c>
      <c r="K34" s="5">
        <f>H34+I34+J34</f>
        <v>114.25333333333333</v>
      </c>
      <c r="L34" s="6">
        <v>60</v>
      </c>
      <c r="M34" s="61">
        <v>25</v>
      </c>
      <c r="N34" s="6">
        <v>0</v>
      </c>
    </row>
    <row r="35" spans="1:15">
      <c r="A35" s="22" t="s">
        <v>66</v>
      </c>
      <c r="B35" s="22"/>
      <c r="C35" s="4">
        <v>43600</v>
      </c>
      <c r="D35" s="4"/>
      <c r="E35" s="4">
        <v>43629</v>
      </c>
      <c r="F35" s="5"/>
      <c r="G35" s="49"/>
      <c r="H35" s="5">
        <f>10.86</f>
        <v>10.86</v>
      </c>
      <c r="I35" s="5">
        <f>39/30*58</f>
        <v>75.400000000000006</v>
      </c>
      <c r="J35" s="5"/>
      <c r="K35" s="5">
        <f>H35+I35</f>
        <v>86.26</v>
      </c>
      <c r="L35" s="6">
        <v>110</v>
      </c>
      <c r="M35" s="61">
        <f>25+11+3</f>
        <v>39</v>
      </c>
      <c r="N35" s="6">
        <v>0</v>
      </c>
      <c r="O35" t="s">
        <v>73</v>
      </c>
    </row>
    <row r="36" spans="1:15">
      <c r="A36" s="22" t="s">
        <v>64</v>
      </c>
      <c r="B36" s="22"/>
      <c r="C36" s="4">
        <v>43627</v>
      </c>
      <c r="D36" s="4"/>
      <c r="E36" s="4">
        <v>43629</v>
      </c>
      <c r="F36" s="5"/>
      <c r="G36" s="49"/>
      <c r="H36" s="5">
        <v>10.86</v>
      </c>
      <c r="I36" s="5">
        <f>25/30*2</f>
        <v>1.6666666666666667</v>
      </c>
      <c r="J36" s="5"/>
      <c r="K36" s="5">
        <f>H36+I36</f>
        <v>12.526666666666666</v>
      </c>
      <c r="L36" s="6">
        <v>200</v>
      </c>
      <c r="M36" s="61">
        <v>11</v>
      </c>
      <c r="N36" s="5">
        <f t="shared" ref="N36:N48" si="1">(L36-M36)*0.7</f>
        <v>132.29999999999998</v>
      </c>
    </row>
    <row r="37" spans="1:15">
      <c r="A37" s="22" t="s">
        <v>65</v>
      </c>
      <c r="B37" s="22"/>
      <c r="C37" s="4">
        <v>43622</v>
      </c>
      <c r="D37" s="4"/>
      <c r="E37" s="4">
        <v>43650</v>
      </c>
      <c r="F37" s="5"/>
      <c r="G37" s="49"/>
      <c r="H37" s="5">
        <v>10.86</v>
      </c>
      <c r="I37" s="5"/>
      <c r="J37" s="5"/>
      <c r="K37" s="5"/>
      <c r="L37" s="6">
        <v>120</v>
      </c>
      <c r="M37" s="61">
        <v>60</v>
      </c>
      <c r="N37" s="6">
        <f t="shared" si="1"/>
        <v>42</v>
      </c>
    </row>
    <row r="38" spans="1:15">
      <c r="A38" s="22" t="s">
        <v>71</v>
      </c>
      <c r="B38" s="22"/>
      <c r="C38" s="4">
        <v>43635</v>
      </c>
      <c r="D38" s="4"/>
      <c r="E38" s="4">
        <v>43662</v>
      </c>
      <c r="F38" s="5"/>
      <c r="G38" s="49"/>
      <c r="H38" s="5">
        <f>10.86*2</f>
        <v>21.72</v>
      </c>
      <c r="I38" s="5"/>
      <c r="J38" s="5"/>
      <c r="K38" s="5"/>
      <c r="L38" s="6">
        <v>70</v>
      </c>
      <c r="M38" s="61">
        <v>26</v>
      </c>
      <c r="N38" s="6">
        <f t="shared" si="1"/>
        <v>30.799999999999997</v>
      </c>
      <c r="O38" t="s">
        <v>72</v>
      </c>
    </row>
    <row r="39" spans="1:15">
      <c r="A39" s="2" t="s">
        <v>75</v>
      </c>
      <c r="B39" s="2"/>
      <c r="C39" s="4">
        <v>43656</v>
      </c>
      <c r="D39" s="4"/>
      <c r="E39" s="4">
        <v>43711</v>
      </c>
      <c r="F39" s="5"/>
      <c r="G39" s="49"/>
      <c r="H39" s="5">
        <v>10.86</v>
      </c>
      <c r="I39" s="5">
        <f>36/30*48</f>
        <v>57.599999999999994</v>
      </c>
      <c r="J39" s="5"/>
      <c r="K39" s="5"/>
      <c r="L39" s="6">
        <v>105</v>
      </c>
      <c r="M39" s="61">
        <v>36</v>
      </c>
      <c r="N39" s="6">
        <f t="shared" si="1"/>
        <v>48.3</v>
      </c>
    </row>
    <row r="40" spans="1:15">
      <c r="A40" s="2" t="s">
        <v>76</v>
      </c>
      <c r="B40" s="2"/>
      <c r="C40" s="4">
        <v>43677</v>
      </c>
      <c r="D40" s="4"/>
      <c r="E40" s="4">
        <v>43713</v>
      </c>
      <c r="F40" s="5"/>
      <c r="G40" s="49"/>
      <c r="H40" s="5">
        <v>24.06</v>
      </c>
      <c r="I40" s="5">
        <f>80/30*35</f>
        <v>93.333333333333329</v>
      </c>
      <c r="J40" s="5">
        <v>40</v>
      </c>
      <c r="K40" s="5"/>
      <c r="L40" s="6">
        <v>149</v>
      </c>
      <c r="M40" s="61">
        <v>80</v>
      </c>
      <c r="N40" s="6">
        <f t="shared" si="1"/>
        <v>48.3</v>
      </c>
      <c r="O40" t="s">
        <v>79</v>
      </c>
    </row>
    <row r="41" spans="1:15">
      <c r="A41" s="2" t="s">
        <v>81</v>
      </c>
      <c r="B41" s="2"/>
      <c r="C41" s="4">
        <v>43788</v>
      </c>
      <c r="D41" s="4"/>
      <c r="E41" s="4">
        <v>43865</v>
      </c>
      <c r="F41" s="5"/>
      <c r="G41" s="49"/>
      <c r="H41" s="5">
        <v>9.14</v>
      </c>
      <c r="I41" s="5">
        <f>25/30*45</f>
        <v>37.5</v>
      </c>
      <c r="J41" s="5"/>
      <c r="K41" s="5"/>
      <c r="L41" s="6">
        <v>90</v>
      </c>
      <c r="M41" s="61">
        <v>25</v>
      </c>
      <c r="N41" s="6">
        <f t="shared" si="1"/>
        <v>45.5</v>
      </c>
    </row>
    <row r="42" spans="1:15">
      <c r="A42" s="22" t="s">
        <v>87</v>
      </c>
      <c r="B42" s="22"/>
      <c r="C42" s="35">
        <v>43878</v>
      </c>
      <c r="D42" s="35"/>
      <c r="E42" s="35">
        <v>43892</v>
      </c>
      <c r="F42" s="5"/>
      <c r="G42" s="49"/>
      <c r="H42" s="5">
        <v>12.19</v>
      </c>
      <c r="I42" s="5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5">
      <c r="A43" s="22" t="s">
        <v>89</v>
      </c>
      <c r="B43" s="22"/>
      <c r="C43" s="35">
        <v>43908</v>
      </c>
      <c r="D43" s="35"/>
      <c r="E43" s="35">
        <v>43893</v>
      </c>
      <c r="F43" s="5"/>
      <c r="G43" s="49"/>
      <c r="H43" s="5">
        <v>9.6</v>
      </c>
      <c r="I43" s="5"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5">
      <c r="A44" s="22" t="s">
        <v>85</v>
      </c>
      <c r="B44" s="22"/>
      <c r="C44" s="35">
        <v>43881</v>
      </c>
      <c r="D44" s="35"/>
      <c r="E44" s="35">
        <v>43895</v>
      </c>
      <c r="F44" s="5"/>
      <c r="G44" s="49"/>
      <c r="H44" s="5">
        <v>9.14</v>
      </c>
      <c r="I44" s="5">
        <f>11/30*15</f>
        <v>5.5</v>
      </c>
      <c r="J44" s="5"/>
      <c r="K44" s="5"/>
      <c r="L44" s="6">
        <v>25</v>
      </c>
      <c r="M44" s="61">
        <v>11</v>
      </c>
      <c r="N44" s="6">
        <f t="shared" si="1"/>
        <v>9.7999999999999989</v>
      </c>
    </row>
    <row r="45" spans="1:15">
      <c r="A45" s="39" t="s">
        <v>82</v>
      </c>
      <c r="B45" s="28"/>
      <c r="C45" s="36">
        <v>40235</v>
      </c>
      <c r="D45" s="36"/>
      <c r="E45" s="36">
        <v>43901</v>
      </c>
      <c r="F45" s="5"/>
      <c r="G45" s="34"/>
      <c r="H45" s="37">
        <v>9.6</v>
      </c>
      <c r="I45" s="5">
        <f>11/2</f>
        <v>5.5</v>
      </c>
      <c r="J45" s="5"/>
      <c r="K45" s="5"/>
      <c r="L45" s="17">
        <v>25</v>
      </c>
      <c r="M45" s="63">
        <v>11</v>
      </c>
      <c r="N45" s="26">
        <f t="shared" si="1"/>
        <v>9.7999999999999989</v>
      </c>
    </row>
    <row r="46" spans="1:15">
      <c r="A46" s="22" t="s">
        <v>84</v>
      </c>
      <c r="B46" s="22"/>
      <c r="C46" s="35">
        <v>43889</v>
      </c>
      <c r="D46" s="35"/>
      <c r="E46" s="35">
        <v>43903</v>
      </c>
      <c r="F46" s="5"/>
      <c r="G46" s="49"/>
      <c r="H46" s="5">
        <v>9.14</v>
      </c>
      <c r="I46" s="5">
        <f>11/30*15</f>
        <v>5.5</v>
      </c>
      <c r="J46" s="5"/>
      <c r="K46" s="5"/>
      <c r="L46" s="6">
        <v>25</v>
      </c>
      <c r="M46" s="61">
        <v>11</v>
      </c>
      <c r="N46" s="6">
        <f t="shared" si="1"/>
        <v>9.7999999999999989</v>
      </c>
    </row>
    <row r="47" spans="1:15">
      <c r="A47" s="22" t="s">
        <v>80</v>
      </c>
      <c r="B47" s="22"/>
      <c r="C47" s="35">
        <v>43873</v>
      </c>
      <c r="D47" s="35"/>
      <c r="E47" s="35">
        <v>43910</v>
      </c>
      <c r="F47" s="5"/>
      <c r="G47" s="49"/>
      <c r="H47" s="5">
        <v>21.84</v>
      </c>
      <c r="I47" s="5">
        <f>56/30*38</f>
        <v>70.933333333333337</v>
      </c>
      <c r="J47" s="5"/>
      <c r="K47" s="5"/>
      <c r="L47" s="6">
        <v>120</v>
      </c>
      <c r="M47" s="61">
        <v>56</v>
      </c>
      <c r="N47" s="6">
        <f t="shared" si="1"/>
        <v>44.8</v>
      </c>
    </row>
    <row r="48" spans="1:15">
      <c r="A48" s="22" t="s">
        <v>88</v>
      </c>
      <c r="B48" s="22"/>
      <c r="C48" s="35">
        <v>43855</v>
      </c>
      <c r="D48" s="35"/>
      <c r="E48" s="35">
        <v>43941</v>
      </c>
      <c r="F48" s="5"/>
      <c r="G48" s="49"/>
      <c r="H48" s="5">
        <v>13.93</v>
      </c>
      <c r="I48" s="5">
        <f>56/30*85</f>
        <v>158.66666666666666</v>
      </c>
      <c r="J48" s="5"/>
      <c r="K48" s="5"/>
      <c r="L48" s="6">
        <v>110</v>
      </c>
      <c r="M48" s="61">
        <v>56</v>
      </c>
      <c r="N48" s="6">
        <f t="shared" si="1"/>
        <v>37.799999999999997</v>
      </c>
    </row>
    <row r="49" spans="1:16">
      <c r="A49" s="22" t="s">
        <v>90</v>
      </c>
      <c r="B49" s="22"/>
      <c r="C49" s="35" t="s">
        <v>96</v>
      </c>
      <c r="D49" s="35"/>
      <c r="E49" s="35">
        <v>44015</v>
      </c>
      <c r="F49" s="5" t="s">
        <v>160</v>
      </c>
      <c r="G49" s="49">
        <v>12.5</v>
      </c>
      <c r="H49" s="5">
        <v>11.29</v>
      </c>
      <c r="I49" s="5">
        <f>100</f>
        <v>100</v>
      </c>
      <c r="J49" s="5"/>
      <c r="K49" s="5"/>
      <c r="L49" s="6">
        <v>105</v>
      </c>
      <c r="M49" s="61">
        <f>25+11+22</f>
        <v>58</v>
      </c>
      <c r="N49" s="6">
        <f>12.5+(92.5-M49)*0.7</f>
        <v>36.65</v>
      </c>
      <c r="P49" s="41"/>
    </row>
    <row r="50" spans="1:16">
      <c r="A50" s="22" t="s">
        <v>97</v>
      </c>
      <c r="B50" s="22"/>
      <c r="C50" s="35">
        <v>43990</v>
      </c>
      <c r="D50" s="35"/>
      <c r="E50" s="35">
        <v>44036</v>
      </c>
      <c r="F50" s="5"/>
      <c r="G50" s="49"/>
      <c r="H50" s="5">
        <v>8.75</v>
      </c>
      <c r="I50" s="5">
        <f>56/30*46</f>
        <v>85.866666666666674</v>
      </c>
      <c r="J50" s="5"/>
      <c r="K50" s="5"/>
      <c r="L50" s="6">
        <v>110</v>
      </c>
      <c r="M50" s="61">
        <f>45+11</f>
        <v>56</v>
      </c>
      <c r="N50" s="6">
        <f>(L50-M50)*0.7</f>
        <v>37.799999999999997</v>
      </c>
    </row>
    <row r="51" spans="1:16">
      <c r="A51" s="22" t="s">
        <v>95</v>
      </c>
      <c r="B51" s="22"/>
      <c r="C51" s="35">
        <v>44028</v>
      </c>
      <c r="D51" s="35"/>
      <c r="E51" s="35">
        <v>44040</v>
      </c>
      <c r="F51" s="5"/>
      <c r="G51" s="49"/>
      <c r="H51" s="5">
        <v>8.75</v>
      </c>
      <c r="I51" s="5">
        <f>41/30*12</f>
        <v>16.399999999999999</v>
      </c>
      <c r="J51" s="5"/>
      <c r="K51" s="5"/>
      <c r="L51" s="6">
        <v>60</v>
      </c>
      <c r="M51" s="61">
        <v>41</v>
      </c>
      <c r="N51" s="6">
        <f>(L51-M51)*0.7</f>
        <v>13.299999999999999</v>
      </c>
    </row>
    <row r="52" spans="1:16">
      <c r="A52" s="22" t="s">
        <v>94</v>
      </c>
      <c r="B52" s="22"/>
      <c r="C52" s="35">
        <v>44011</v>
      </c>
      <c r="D52" s="35"/>
      <c r="E52" s="35">
        <v>44084</v>
      </c>
      <c r="F52" s="5"/>
      <c r="G52" s="49"/>
      <c r="H52" s="5">
        <v>11.29</v>
      </c>
      <c r="I52" s="5">
        <f>25/30*71</f>
        <v>59.166666666666671</v>
      </c>
      <c r="J52" s="5"/>
      <c r="K52" s="5"/>
      <c r="L52" s="6">
        <v>40</v>
      </c>
      <c r="M52" s="61">
        <v>25</v>
      </c>
      <c r="N52" s="6">
        <f>(L52-M52)*0.7</f>
        <v>10.5</v>
      </c>
    </row>
    <row r="53" spans="1:16">
      <c r="A53" s="2" t="s">
        <v>99</v>
      </c>
      <c r="B53" s="2"/>
      <c r="C53" s="35">
        <v>44084</v>
      </c>
      <c r="D53" s="35"/>
      <c r="E53" s="35">
        <v>44105</v>
      </c>
      <c r="F53" s="5" t="s">
        <v>160</v>
      </c>
      <c r="G53" s="49">
        <v>5</v>
      </c>
      <c r="H53" s="5">
        <v>12.24</v>
      </c>
      <c r="I53" s="5">
        <f>25/30*20</f>
        <v>16.666666666666668</v>
      </c>
      <c r="J53" s="5"/>
      <c r="K53" s="5"/>
      <c r="L53" s="43">
        <v>40</v>
      </c>
      <c r="M53" s="61">
        <v>22</v>
      </c>
      <c r="N53" s="6">
        <f>5+13*0.7</f>
        <v>14.1</v>
      </c>
      <c r="P53" s="41"/>
    </row>
    <row r="54" spans="1:16">
      <c r="A54" s="2" t="s">
        <v>102</v>
      </c>
      <c r="B54" s="2"/>
      <c r="C54" s="4" t="s">
        <v>103</v>
      </c>
      <c r="D54" s="4"/>
      <c r="E54" s="4">
        <v>44110</v>
      </c>
      <c r="F54" s="5" t="s">
        <v>160</v>
      </c>
      <c r="G54" s="49">
        <v>10</v>
      </c>
      <c r="H54" s="5">
        <v>36.65</v>
      </c>
      <c r="I54" s="5">
        <f>115/30*26</f>
        <v>99.666666666666671</v>
      </c>
      <c r="J54" s="5"/>
      <c r="K54" s="5"/>
      <c r="L54" s="6">
        <v>180</v>
      </c>
      <c r="M54" s="61">
        <v>115</v>
      </c>
      <c r="N54" s="6">
        <f>10+55*0.7</f>
        <v>48.5</v>
      </c>
      <c r="P54" s="41"/>
    </row>
    <row r="55" spans="1:16">
      <c r="A55" s="2" t="s">
        <v>94</v>
      </c>
      <c r="B55" s="2"/>
      <c r="C55" s="35">
        <v>44124</v>
      </c>
      <c r="D55" s="35"/>
      <c r="E55" s="35">
        <v>44124</v>
      </c>
      <c r="F55" s="5"/>
      <c r="G55" s="49"/>
      <c r="H55" s="5">
        <v>7.25</v>
      </c>
      <c r="I55" s="5">
        <v>0</v>
      </c>
      <c r="J55" s="5"/>
      <c r="K55" s="5"/>
      <c r="L55" s="6">
        <v>25</v>
      </c>
      <c r="M55" s="61">
        <v>11</v>
      </c>
      <c r="N55" s="6">
        <f>(L55-M55)*0.7</f>
        <v>9.7999999999999989</v>
      </c>
    </row>
    <row r="56" spans="1:16">
      <c r="A56" s="2" t="s">
        <v>100</v>
      </c>
      <c r="B56" s="2"/>
      <c r="C56" s="4">
        <v>44018</v>
      </c>
      <c r="D56" s="4"/>
      <c r="E56" s="4">
        <v>44124</v>
      </c>
      <c r="F56" s="40"/>
      <c r="G56" s="2"/>
      <c r="H56" s="5">
        <v>9.5</v>
      </c>
      <c r="I56" s="5">
        <f>25/30*104</f>
        <v>86.666666666666671</v>
      </c>
      <c r="J56" s="5"/>
      <c r="K56" s="5"/>
      <c r="L56" s="6">
        <v>70</v>
      </c>
      <c r="M56" s="61">
        <v>25</v>
      </c>
      <c r="N56" s="6">
        <f>(L56-M56)*0.7</f>
        <v>31.499999999999996</v>
      </c>
    </row>
    <row r="57" spans="1:16">
      <c r="A57" s="2" t="s">
        <v>101</v>
      </c>
      <c r="B57" s="2"/>
      <c r="C57" s="4">
        <v>44070</v>
      </c>
      <c r="D57" s="4"/>
      <c r="E57" s="4">
        <v>44131</v>
      </c>
      <c r="F57" s="40"/>
      <c r="G57" s="2"/>
      <c r="H57" s="5">
        <v>13.93</v>
      </c>
      <c r="I57" s="5">
        <f>71/30*60</f>
        <v>142</v>
      </c>
      <c r="J57" s="5"/>
      <c r="K57" s="5"/>
      <c r="L57" s="6">
        <v>120</v>
      </c>
      <c r="M57" s="61">
        <f>60+11</f>
        <v>71</v>
      </c>
      <c r="N57" s="6">
        <f>(L57-M57)*0.7</f>
        <v>34.299999999999997</v>
      </c>
    </row>
    <row r="58" spans="1:16">
      <c r="A58" s="22" t="s">
        <v>104</v>
      </c>
      <c r="B58" s="22"/>
      <c r="C58" s="4">
        <v>44159</v>
      </c>
      <c r="D58" s="4"/>
      <c r="E58" s="4">
        <v>44187</v>
      </c>
      <c r="F58" s="40"/>
      <c r="G58" s="2"/>
      <c r="H58" s="5">
        <v>13.93</v>
      </c>
      <c r="I58" s="5">
        <f>36/30*28</f>
        <v>33.6</v>
      </c>
      <c r="J58" s="5"/>
      <c r="K58" s="5"/>
      <c r="L58" s="6">
        <v>110</v>
      </c>
      <c r="M58" s="61">
        <f>25+11</f>
        <v>36</v>
      </c>
      <c r="N58" s="6">
        <f>(L58-M58)*0.7</f>
        <v>51.8</v>
      </c>
    </row>
    <row r="59" spans="1:16">
      <c r="A59" s="22" t="s">
        <v>120</v>
      </c>
      <c r="B59" s="22"/>
      <c r="C59" s="4">
        <v>44169</v>
      </c>
      <c r="D59" s="4"/>
      <c r="E59" s="4">
        <v>44208</v>
      </c>
      <c r="F59" s="5" t="s">
        <v>160</v>
      </c>
      <c r="G59" s="49">
        <v>10</v>
      </c>
      <c r="H59" s="5"/>
      <c r="I59" s="5">
        <f>41/30*38</f>
        <v>51.933333333333337</v>
      </c>
      <c r="J59" s="5"/>
      <c r="K59" s="5"/>
      <c r="L59" s="6">
        <v>70</v>
      </c>
      <c r="M59" s="61">
        <v>45</v>
      </c>
      <c r="N59" s="5">
        <f>10+(60-45)*0.7</f>
        <v>20.5</v>
      </c>
      <c r="O59" s="1" t="s">
        <v>145</v>
      </c>
    </row>
    <row r="60" spans="1:16">
      <c r="A60" s="22" t="s">
        <v>108</v>
      </c>
      <c r="B60" s="22"/>
      <c r="C60" s="4">
        <v>44185</v>
      </c>
      <c r="D60" s="4"/>
      <c r="E60" s="4">
        <v>44242</v>
      </c>
      <c r="F60" s="5" t="s">
        <v>160</v>
      </c>
      <c r="G60" s="49">
        <v>20</v>
      </c>
      <c r="H60" s="5">
        <v>26.48</v>
      </c>
      <c r="I60" s="5">
        <f>50/30*55</f>
        <v>91.666666666666671</v>
      </c>
      <c r="J60" s="5">
        <v>160</v>
      </c>
      <c r="K60" s="5"/>
      <c r="L60" s="6">
        <v>190</v>
      </c>
      <c r="M60" s="61">
        <v>61</v>
      </c>
      <c r="N60" s="5">
        <f>(20+(170-61)*0.7)</f>
        <v>96.3</v>
      </c>
      <c r="O60" s="1" t="s">
        <v>145</v>
      </c>
    </row>
    <row r="61" spans="1:16">
      <c r="A61" s="22" t="s">
        <v>109</v>
      </c>
      <c r="B61" s="22"/>
      <c r="C61" s="4">
        <v>44209</v>
      </c>
      <c r="D61" s="4"/>
      <c r="E61" s="4">
        <v>44250</v>
      </c>
      <c r="F61" s="5" t="s">
        <v>160</v>
      </c>
      <c r="G61" s="49">
        <v>22.5</v>
      </c>
      <c r="H61" s="5">
        <v>22.83</v>
      </c>
      <c r="I61" s="5">
        <f>100/30*40</f>
        <v>133.33333333333334</v>
      </c>
      <c r="J61" s="5">
        <v>125</v>
      </c>
      <c r="K61" s="5"/>
      <c r="L61" s="6">
        <v>210</v>
      </c>
      <c r="M61" s="61">
        <v>100</v>
      </c>
      <c r="N61" s="6">
        <f>(22.5+87.5*0.7)</f>
        <v>83.75</v>
      </c>
    </row>
    <row r="62" spans="1:16">
      <c r="A62" s="2" t="s">
        <v>113</v>
      </c>
      <c r="B62" s="2"/>
      <c r="C62" s="4">
        <v>44245</v>
      </c>
      <c r="D62" s="4"/>
      <c r="E62" s="4">
        <v>44271</v>
      </c>
      <c r="F62" s="5" t="s">
        <v>160</v>
      </c>
      <c r="G62" s="49">
        <v>15</v>
      </c>
      <c r="H62" s="5">
        <v>26.76</v>
      </c>
      <c r="I62" s="5">
        <f>67/30*28</f>
        <v>62.533333333333331</v>
      </c>
      <c r="J62" s="5"/>
      <c r="K62" s="5"/>
      <c r="L62" s="6">
        <v>140</v>
      </c>
      <c r="M62" s="61">
        <v>67</v>
      </c>
      <c r="N62" s="6">
        <f>(15+0.7*58)</f>
        <v>55.599999999999994</v>
      </c>
    </row>
    <row r="63" spans="1:16">
      <c r="A63" s="2" t="s">
        <v>114</v>
      </c>
      <c r="B63" s="2"/>
      <c r="C63" s="4">
        <v>44222</v>
      </c>
      <c r="D63" s="4"/>
      <c r="E63" s="4">
        <v>44279</v>
      </c>
      <c r="F63" s="5" t="s">
        <v>160</v>
      </c>
      <c r="G63" s="49">
        <v>12.5</v>
      </c>
      <c r="H63" s="5">
        <v>13.4</v>
      </c>
      <c r="I63" s="5">
        <f>56/30*58</f>
        <v>108.26666666666667</v>
      </c>
      <c r="J63" s="5">
        <v>100</v>
      </c>
      <c r="K63" s="5"/>
      <c r="L63" s="6">
        <v>140</v>
      </c>
      <c r="M63" s="61">
        <v>56</v>
      </c>
      <c r="N63" s="5">
        <f>(12.5+71.5*0.7)</f>
        <v>62.55</v>
      </c>
      <c r="O63" s="1" t="s">
        <v>145</v>
      </c>
    </row>
    <row r="64" spans="1:16">
      <c r="A64" s="2" t="s">
        <v>112</v>
      </c>
      <c r="B64" s="2"/>
      <c r="C64" s="4">
        <v>44270</v>
      </c>
      <c r="D64" s="4"/>
      <c r="E64" s="4">
        <v>44286</v>
      </c>
      <c r="F64" s="5" t="s">
        <v>160</v>
      </c>
      <c r="G64" s="49">
        <v>17.5</v>
      </c>
      <c r="H64" s="5">
        <v>31.96</v>
      </c>
      <c r="I64" s="5">
        <f>55/30*16</f>
        <v>29.333333333333332</v>
      </c>
      <c r="J64" s="5">
        <v>75</v>
      </c>
      <c r="K64" s="5"/>
      <c r="L64" s="6">
        <v>100</v>
      </c>
      <c r="M64" s="61">
        <v>55</v>
      </c>
      <c r="N64" s="6">
        <f>(17.5+27.5*0.7)</f>
        <v>36.75</v>
      </c>
    </row>
    <row r="65" spans="1:15">
      <c r="A65" s="2" t="s">
        <v>119</v>
      </c>
      <c r="B65" s="2"/>
      <c r="C65" s="4">
        <v>44281</v>
      </c>
      <c r="D65" s="4"/>
      <c r="E65" s="4">
        <v>44316</v>
      </c>
      <c r="F65" s="40"/>
      <c r="G65" s="2"/>
      <c r="H65" s="5">
        <v>14.26</v>
      </c>
      <c r="I65" s="5">
        <f>45/30*34</f>
        <v>51</v>
      </c>
      <c r="J65" s="5"/>
      <c r="K65" s="5"/>
      <c r="L65" s="6">
        <v>110</v>
      </c>
      <c r="M65" s="61">
        <v>45</v>
      </c>
      <c r="N65" s="6">
        <f>(65*0.7)</f>
        <v>45.5</v>
      </c>
    </row>
    <row r="66" spans="1:15">
      <c r="A66" s="22" t="s">
        <v>121</v>
      </c>
      <c r="B66" s="22"/>
      <c r="C66" s="4">
        <v>44316</v>
      </c>
      <c r="D66" s="4"/>
      <c r="E66" s="4">
        <v>44354</v>
      </c>
      <c r="F66" s="40"/>
      <c r="G66" s="2"/>
      <c r="H66" s="5">
        <v>15.15</v>
      </c>
      <c r="I66" s="5">
        <f>36/30*37</f>
        <v>44.4</v>
      </c>
      <c r="J66" s="5"/>
      <c r="K66" s="5"/>
      <c r="L66" s="6">
        <v>110</v>
      </c>
      <c r="M66" s="61">
        <v>36</v>
      </c>
      <c r="N66" s="5">
        <f>(L66-M66)*0.7</f>
        <v>51.8</v>
      </c>
      <c r="O66" s="1" t="s">
        <v>145</v>
      </c>
    </row>
    <row r="67" spans="1:15">
      <c r="A67" s="22" t="s">
        <v>126</v>
      </c>
      <c r="B67" s="22"/>
      <c r="C67" s="4">
        <v>44336</v>
      </c>
      <c r="D67" s="4"/>
      <c r="E67" s="4">
        <v>44370</v>
      </c>
      <c r="F67" s="5" t="s">
        <v>161</v>
      </c>
      <c r="G67" s="49">
        <v>17.5</v>
      </c>
      <c r="H67" s="5">
        <v>35.78</v>
      </c>
      <c r="I67" s="5">
        <f>58/30*33</f>
        <v>63.8</v>
      </c>
      <c r="J67" s="5">
        <v>50</v>
      </c>
      <c r="K67" s="5"/>
      <c r="L67" s="6">
        <v>150</v>
      </c>
      <c r="M67" s="61">
        <v>58</v>
      </c>
      <c r="N67" s="6">
        <f>(17.5+74.5*0.7)</f>
        <v>69.650000000000006</v>
      </c>
    </row>
    <row r="68" spans="1:15">
      <c r="A68" s="44" t="s">
        <v>125</v>
      </c>
      <c r="B68" s="44"/>
      <c r="C68" s="4">
        <v>44342</v>
      </c>
      <c r="D68" s="4"/>
      <c r="E68" s="4">
        <v>44386</v>
      </c>
      <c r="F68" s="5" t="s">
        <v>160</v>
      </c>
      <c r="G68" s="49">
        <v>12.5</v>
      </c>
      <c r="H68" s="5">
        <v>15.46</v>
      </c>
      <c r="I68" s="5">
        <f>36/30*43</f>
        <v>51.6</v>
      </c>
      <c r="J68" s="5">
        <f>50+45</f>
        <v>95</v>
      </c>
      <c r="K68" s="5"/>
      <c r="L68" s="6">
        <v>80</v>
      </c>
      <c r="M68" s="61">
        <v>33</v>
      </c>
      <c r="N68" s="6">
        <f>12.5+(L68-M68-12.5)*0.7</f>
        <v>36.65</v>
      </c>
    </row>
    <row r="69" spans="1:15">
      <c r="A69" s="44" t="s">
        <v>129</v>
      </c>
      <c r="B69" s="44"/>
      <c r="C69" s="4">
        <v>44348</v>
      </c>
      <c r="D69" s="4"/>
      <c r="E69" s="4">
        <v>44389</v>
      </c>
      <c r="F69" s="5" t="s">
        <v>160</v>
      </c>
      <c r="G69" s="49">
        <v>12.5</v>
      </c>
      <c r="H69" s="5">
        <v>26.22</v>
      </c>
      <c r="I69" s="5">
        <f>71/30*42</f>
        <v>99.4</v>
      </c>
      <c r="J69" s="5">
        <f>50+45</f>
        <v>95</v>
      </c>
      <c r="K69" s="5"/>
      <c r="L69" s="6">
        <v>140</v>
      </c>
      <c r="M69" s="61">
        <v>71</v>
      </c>
      <c r="N69" s="6">
        <f>(12.5+(127.5-71)*0.7)</f>
        <v>52.05</v>
      </c>
    </row>
    <row r="70" spans="1:15">
      <c r="A70" s="44" t="s">
        <v>124</v>
      </c>
      <c r="B70" s="44"/>
      <c r="C70" s="4">
        <v>44348</v>
      </c>
      <c r="D70" s="4"/>
      <c r="E70" s="4">
        <v>44389</v>
      </c>
      <c r="F70" s="40"/>
      <c r="G70" s="2"/>
      <c r="H70" s="5">
        <v>11.62</v>
      </c>
      <c r="I70" s="5">
        <f>26/30*42</f>
        <v>36.4</v>
      </c>
      <c r="J70" s="5">
        <v>65</v>
      </c>
      <c r="K70" s="5"/>
      <c r="L70" s="6">
        <v>70</v>
      </c>
      <c r="M70" s="61">
        <v>26</v>
      </c>
      <c r="N70" s="6">
        <f>(70-26)*0.7</f>
        <v>30.799999999999997</v>
      </c>
    </row>
    <row r="71" spans="1:15">
      <c r="A71" s="44" t="s">
        <v>132</v>
      </c>
      <c r="B71" s="44"/>
      <c r="C71" s="4">
        <v>44407</v>
      </c>
      <c r="D71" s="4"/>
      <c r="E71" s="4">
        <v>44461</v>
      </c>
      <c r="F71" s="40"/>
      <c r="G71" s="2"/>
      <c r="H71" s="5">
        <v>9.8800000000000008</v>
      </c>
      <c r="I71" s="5">
        <f>25/30*52</f>
        <v>43.333333333333336</v>
      </c>
      <c r="J71" s="5"/>
      <c r="K71" s="5"/>
      <c r="L71" s="6">
        <v>40</v>
      </c>
      <c r="M71" s="61">
        <v>25</v>
      </c>
      <c r="N71" s="6">
        <f>(L71-M71)*0.7</f>
        <v>10.5</v>
      </c>
    </row>
    <row r="72" spans="1:15">
      <c r="A72" s="44" t="s">
        <v>133</v>
      </c>
      <c r="B72" s="44"/>
      <c r="C72" s="4">
        <v>44432</v>
      </c>
      <c r="D72" s="4"/>
      <c r="E72" s="4">
        <v>44467</v>
      </c>
      <c r="F72" s="40"/>
      <c r="G72" s="2"/>
      <c r="H72" s="5">
        <v>9.8800000000000008</v>
      </c>
      <c r="I72" s="5">
        <f>25/30*34</f>
        <v>28.333333333333336</v>
      </c>
      <c r="J72" s="5"/>
      <c r="K72" s="5"/>
      <c r="L72" s="6">
        <v>40</v>
      </c>
      <c r="M72" s="61">
        <v>25</v>
      </c>
      <c r="N72" s="6">
        <f>(L72-M72)*0.7</f>
        <v>10.5</v>
      </c>
    </row>
    <row r="73" spans="1:15">
      <c r="A73" s="52" t="s">
        <v>141</v>
      </c>
      <c r="B73" s="52"/>
      <c r="C73" s="57">
        <v>44459</v>
      </c>
      <c r="D73" s="57"/>
      <c r="E73" s="57">
        <v>44481</v>
      </c>
      <c r="F73" s="10" t="s">
        <v>161</v>
      </c>
      <c r="G73" s="12">
        <v>10</v>
      </c>
      <c r="H73" s="25">
        <v>15.15</v>
      </c>
      <c r="I73" s="25">
        <f>46/30*22</f>
        <v>33.733333333333334</v>
      </c>
      <c r="J73" s="25">
        <v>80</v>
      </c>
      <c r="K73" s="25"/>
      <c r="L73" s="27">
        <v>120</v>
      </c>
      <c r="M73" s="64">
        <v>46</v>
      </c>
      <c r="N73" s="27">
        <f>10+(120-56)*0.7</f>
        <v>54.8</v>
      </c>
    </row>
    <row r="74" spans="1:15">
      <c r="A74" s="52" t="s">
        <v>140</v>
      </c>
      <c r="B74" s="52"/>
      <c r="C74" s="57">
        <v>44449</v>
      </c>
      <c r="D74" s="57"/>
      <c r="E74" s="57">
        <v>44482</v>
      </c>
      <c r="F74" s="25" t="s">
        <v>160</v>
      </c>
      <c r="G74" s="58">
        <v>10</v>
      </c>
      <c r="H74" s="25">
        <v>13.4</v>
      </c>
      <c r="I74" s="25">
        <f>60/30*33</f>
        <v>66</v>
      </c>
      <c r="J74" s="25">
        <v>80</v>
      </c>
      <c r="K74" s="25"/>
      <c r="L74" s="27">
        <v>120</v>
      </c>
      <c r="M74" s="64">
        <v>61</v>
      </c>
      <c r="N74" s="27">
        <f>(10+49*0.7)</f>
        <v>44.3</v>
      </c>
    </row>
    <row r="75" spans="1:15">
      <c r="A75" s="44" t="s">
        <v>137</v>
      </c>
      <c r="B75" s="44"/>
      <c r="C75" s="35">
        <v>44474</v>
      </c>
      <c r="D75" s="35"/>
      <c r="E75" s="35">
        <v>44487</v>
      </c>
      <c r="F75" s="10" t="s">
        <v>161</v>
      </c>
      <c r="G75" s="12">
        <v>12.5</v>
      </c>
      <c r="H75" s="5">
        <v>15.15</v>
      </c>
      <c r="I75" s="5">
        <f>71/30*13</f>
        <v>30.766666666666666</v>
      </c>
      <c r="J75" s="5">
        <v>95</v>
      </c>
      <c r="K75" s="5"/>
      <c r="L75" s="6">
        <v>140</v>
      </c>
      <c r="M75" s="61">
        <v>71</v>
      </c>
      <c r="N75" s="6">
        <f>12.5+(56.5)*0.7</f>
        <v>52.05</v>
      </c>
    </row>
    <row r="76" spans="1:15">
      <c r="A76" s="44" t="s">
        <v>143</v>
      </c>
      <c r="B76" s="44"/>
      <c r="C76" s="35">
        <v>43717</v>
      </c>
      <c r="D76" s="35"/>
      <c r="E76" s="35">
        <v>44505</v>
      </c>
      <c r="F76" s="40"/>
      <c r="G76" s="49"/>
      <c r="H76" s="5">
        <v>13.4</v>
      </c>
      <c r="I76" s="5">
        <f>36*25+36/30*26</f>
        <v>931.2</v>
      </c>
      <c r="J76" s="5"/>
      <c r="K76" s="5"/>
      <c r="L76" s="6">
        <v>100</v>
      </c>
      <c r="M76" s="61">
        <v>36</v>
      </c>
      <c r="N76" s="6">
        <f>(100-36)*0.7</f>
        <v>44.8</v>
      </c>
    </row>
    <row r="77" spans="1:15">
      <c r="A77" s="44" t="s">
        <v>139</v>
      </c>
      <c r="B77" s="44"/>
      <c r="C77" s="35">
        <v>44492</v>
      </c>
      <c r="D77" s="35"/>
      <c r="E77" s="35">
        <v>44539</v>
      </c>
      <c r="F77" s="40"/>
      <c r="G77" s="49"/>
      <c r="H77" s="5">
        <v>16.350000000000001</v>
      </c>
      <c r="I77" s="5">
        <f>71/30*46</f>
        <v>108.86666666666667</v>
      </c>
      <c r="J77" s="5">
        <v>95</v>
      </c>
      <c r="K77" s="5"/>
      <c r="L77" s="6">
        <v>140</v>
      </c>
      <c r="M77" s="61">
        <v>71</v>
      </c>
      <c r="N77" s="6">
        <f>(140-71)*0.7/30*21</f>
        <v>33.809999999999995</v>
      </c>
    </row>
    <row r="78" spans="1:15">
      <c r="A78" s="44" t="s">
        <v>144</v>
      </c>
      <c r="B78" s="44"/>
      <c r="C78" s="35">
        <v>44526</v>
      </c>
      <c r="D78" s="35"/>
      <c r="E78" s="35">
        <v>44550</v>
      </c>
      <c r="F78" s="5" t="s">
        <v>160</v>
      </c>
      <c r="G78" s="49">
        <v>12.5</v>
      </c>
      <c r="H78" s="5">
        <v>13.4</v>
      </c>
      <c r="I78" s="5">
        <f>83/30*24</f>
        <v>66.400000000000006</v>
      </c>
      <c r="J78" s="5"/>
      <c r="K78" s="5"/>
      <c r="L78" s="6">
        <v>140</v>
      </c>
      <c r="M78" s="61">
        <v>94</v>
      </c>
      <c r="N78" s="6">
        <f>12.5+(140-12.5-94)*0.7</f>
        <v>35.950000000000003</v>
      </c>
    </row>
    <row r="79" spans="1:15">
      <c r="A79" s="44" t="s">
        <v>149</v>
      </c>
      <c r="B79" s="44"/>
      <c r="C79" s="35">
        <v>44880</v>
      </c>
      <c r="D79" s="35"/>
      <c r="E79" s="35">
        <v>44575</v>
      </c>
      <c r="F79" s="40"/>
      <c r="G79" s="49"/>
      <c r="H79" s="5">
        <v>13.4</v>
      </c>
      <c r="I79" s="5"/>
      <c r="J79" s="5">
        <v>50</v>
      </c>
      <c r="K79" s="5"/>
      <c r="L79" s="6">
        <v>160</v>
      </c>
      <c r="M79" s="61">
        <f>71+9</f>
        <v>80</v>
      </c>
      <c r="N79" s="6">
        <f>(160-80)*0.7</f>
        <v>56</v>
      </c>
    </row>
    <row r="80" spans="1:15">
      <c r="A80" s="44" t="s">
        <v>146</v>
      </c>
      <c r="B80" s="44"/>
      <c r="C80" s="4">
        <v>44586</v>
      </c>
      <c r="D80" s="4"/>
      <c r="E80" s="4">
        <v>44615</v>
      </c>
      <c r="F80" s="10" t="s">
        <v>161</v>
      </c>
      <c r="G80" s="12">
        <v>12.5</v>
      </c>
      <c r="H80" s="5">
        <v>15.46</v>
      </c>
      <c r="I80" s="5">
        <f>27/30*28</f>
        <v>25.2</v>
      </c>
      <c r="J80" s="5">
        <v>110</v>
      </c>
      <c r="K80" s="5"/>
      <c r="L80" s="6">
        <v>154</v>
      </c>
      <c r="M80" s="61">
        <v>62</v>
      </c>
      <c r="N80" s="6">
        <f>12.5+(154-12.5-62)*0.7</f>
        <v>68.150000000000006</v>
      </c>
    </row>
    <row r="81" spans="1:14">
      <c r="A81" s="44" t="s">
        <v>148</v>
      </c>
      <c r="B81" s="44"/>
      <c r="C81" s="4">
        <v>44579</v>
      </c>
      <c r="D81" s="4"/>
      <c r="E81" s="4">
        <v>44594</v>
      </c>
      <c r="F81" s="40"/>
      <c r="G81" s="49"/>
      <c r="H81" s="5">
        <v>13.4</v>
      </c>
      <c r="I81" s="5">
        <f>22/30*14</f>
        <v>10.266666666666666</v>
      </c>
      <c r="J81" s="5">
        <v>30</v>
      </c>
      <c r="K81" s="5"/>
      <c r="L81" s="6">
        <v>50</v>
      </c>
      <c r="M81" s="61">
        <v>22</v>
      </c>
      <c r="N81" s="6">
        <f>(50-22)*0.7</f>
        <v>19.599999999999998</v>
      </c>
    </row>
    <row r="82" spans="1:14">
      <c r="A82" s="44" t="s">
        <v>150</v>
      </c>
      <c r="B82" s="44"/>
      <c r="C82" s="4">
        <v>44899</v>
      </c>
      <c r="D82" s="4"/>
      <c r="E82" s="4">
        <v>44607</v>
      </c>
      <c r="F82" s="12" t="s">
        <v>160</v>
      </c>
      <c r="G82" s="12">
        <v>12.5</v>
      </c>
      <c r="H82" s="5">
        <v>13.4</v>
      </c>
      <c r="I82" s="5">
        <f>71/30*61</f>
        <v>144.36666666666667</v>
      </c>
      <c r="J82" s="5">
        <v>80</v>
      </c>
      <c r="K82" s="5"/>
      <c r="L82" s="6">
        <v>120</v>
      </c>
      <c r="M82" s="61">
        <v>60</v>
      </c>
      <c r="N82" s="6">
        <f>12.5+(120-72.5)*0.7</f>
        <v>45.75</v>
      </c>
    </row>
    <row r="83" spans="1:14">
      <c r="A83" s="44" t="s">
        <v>151</v>
      </c>
      <c r="B83" s="44"/>
      <c r="C83" s="4">
        <v>44926</v>
      </c>
      <c r="D83" s="4"/>
      <c r="E83" s="4">
        <v>44649</v>
      </c>
      <c r="F83" s="40"/>
      <c r="G83" s="40"/>
      <c r="H83" s="5">
        <v>9.0299999999999994</v>
      </c>
      <c r="I83" s="5">
        <f>25*2+25/30*29</f>
        <v>74.166666666666671</v>
      </c>
      <c r="J83" s="5">
        <v>80</v>
      </c>
      <c r="K83" s="5"/>
      <c r="L83" s="6">
        <v>67.5</v>
      </c>
      <c r="M83" s="61">
        <v>25</v>
      </c>
      <c r="N83" s="6">
        <f>(67.5-25)*0.7</f>
        <v>29.749999999999996</v>
      </c>
    </row>
    <row r="84" spans="1:14">
      <c r="A84" s="44" t="s">
        <v>152</v>
      </c>
      <c r="B84" s="44"/>
      <c r="C84" s="4">
        <v>44852</v>
      </c>
      <c r="D84" s="4"/>
      <c r="E84" s="4">
        <v>44649</v>
      </c>
      <c r="F84" s="40"/>
      <c r="G84" s="40"/>
      <c r="H84" s="5">
        <v>9.0299999999999994</v>
      </c>
      <c r="I84" s="5">
        <f>45*4+45/30*13</f>
        <v>199.5</v>
      </c>
      <c r="J84" s="5">
        <v>80</v>
      </c>
      <c r="K84" s="5"/>
      <c r="L84" s="6">
        <v>67.5</v>
      </c>
      <c r="M84" s="61">
        <v>45</v>
      </c>
      <c r="N84" s="6">
        <f>(L84-M84)*0.7</f>
        <v>15.749999999999998</v>
      </c>
    </row>
    <row r="85" spans="1:14">
      <c r="A85" s="44" t="s">
        <v>153</v>
      </c>
      <c r="B85" s="44"/>
      <c r="C85" s="4">
        <v>44623</v>
      </c>
      <c r="D85" s="4"/>
      <c r="E85" s="4">
        <v>44623</v>
      </c>
      <c r="F85" s="40"/>
      <c r="G85" s="40"/>
      <c r="H85" s="5">
        <v>11.03</v>
      </c>
      <c r="I85" s="5">
        <v>0</v>
      </c>
      <c r="J85" s="5">
        <v>15</v>
      </c>
      <c r="K85" s="5"/>
      <c r="L85" s="6">
        <v>30</v>
      </c>
      <c r="M85" s="61">
        <v>12</v>
      </c>
      <c r="N85" s="6">
        <f>(L85-M85)*0.7</f>
        <v>12.6</v>
      </c>
    </row>
    <row r="86" spans="1:14">
      <c r="A86" s="44" t="s">
        <v>154</v>
      </c>
      <c r="B86" s="44"/>
      <c r="C86" s="4">
        <v>44881</v>
      </c>
      <c r="D86" s="4"/>
      <c r="E86" s="4">
        <v>44628</v>
      </c>
      <c r="F86" s="40"/>
      <c r="G86" s="40"/>
      <c r="H86" s="5">
        <v>9.0299999999999994</v>
      </c>
      <c r="I86" s="5">
        <f>65*3+65/30*22</f>
        <v>242.66666666666666</v>
      </c>
      <c r="J86" s="5">
        <v>95</v>
      </c>
      <c r="K86" s="5"/>
      <c r="L86" s="6">
        <v>112</v>
      </c>
      <c r="M86" s="61">
        <v>65</v>
      </c>
      <c r="N86" s="6">
        <f>(L86-M86)*0.7</f>
        <v>32.9</v>
      </c>
    </row>
    <row r="87" spans="1:14">
      <c r="A87" s="44" t="s">
        <v>155</v>
      </c>
      <c r="B87" s="44"/>
      <c r="C87" s="4">
        <v>44490</v>
      </c>
      <c r="D87" s="4"/>
      <c r="E87" s="4">
        <v>44648</v>
      </c>
      <c r="F87" s="40"/>
      <c r="G87" s="40"/>
      <c r="H87" s="5">
        <v>13.4</v>
      </c>
      <c r="I87" s="5">
        <f>45*5+45/30*7</f>
        <v>235.5</v>
      </c>
      <c r="J87" s="5">
        <v>80</v>
      </c>
      <c r="K87" s="5"/>
      <c r="L87" s="6">
        <v>67.5</v>
      </c>
      <c r="M87" s="61">
        <v>45</v>
      </c>
      <c r="N87" s="6">
        <f>(L87-M87)*0.7</f>
        <v>15.749999999999998</v>
      </c>
    </row>
    <row r="88" spans="1:14">
      <c r="A88" s="44" t="s">
        <v>156</v>
      </c>
      <c r="B88" s="44"/>
      <c r="C88" s="4">
        <v>44489</v>
      </c>
      <c r="D88" s="4"/>
      <c r="E88" s="4">
        <v>44651</v>
      </c>
      <c r="F88" s="40"/>
      <c r="G88" s="40"/>
      <c r="H88" s="5">
        <v>15.46</v>
      </c>
      <c r="I88" s="5">
        <f>50*5+50/10</f>
        <v>255</v>
      </c>
      <c r="J88" s="5">
        <v>145</v>
      </c>
      <c r="K88" s="5"/>
      <c r="L88" s="6">
        <v>125</v>
      </c>
      <c r="M88" s="61">
        <v>50</v>
      </c>
      <c r="N88" s="6">
        <f>(L88-M88)*0.7</f>
        <v>52.5</v>
      </c>
    </row>
    <row r="89" spans="1:14">
      <c r="A89" s="44" t="s">
        <v>157</v>
      </c>
      <c r="B89" s="44"/>
      <c r="C89" s="4">
        <v>44627</v>
      </c>
      <c r="D89" s="4"/>
      <c r="E89" s="4">
        <v>44627</v>
      </c>
      <c r="F89" s="10" t="s">
        <v>161</v>
      </c>
      <c r="G89" s="12">
        <v>10</v>
      </c>
      <c r="H89" s="5">
        <v>15.46</v>
      </c>
      <c r="I89" s="5">
        <v>0</v>
      </c>
      <c r="J89" s="5">
        <v>0</v>
      </c>
      <c r="K89" s="5"/>
      <c r="L89" s="6">
        <v>100</v>
      </c>
      <c r="M89" s="61">
        <v>44</v>
      </c>
      <c r="N89" s="6">
        <f>10+(46)*0.7</f>
        <v>42.199999999999996</v>
      </c>
    </row>
    <row r="90" spans="1:14">
      <c r="A90" s="44" t="s">
        <v>158</v>
      </c>
      <c r="B90" s="44"/>
      <c r="C90" s="4">
        <v>44627</v>
      </c>
      <c r="D90" s="4"/>
      <c r="E90" s="4">
        <v>44627</v>
      </c>
      <c r="F90" s="10" t="s">
        <v>161</v>
      </c>
      <c r="G90" s="12">
        <v>12.5</v>
      </c>
      <c r="H90" s="5">
        <v>15.46</v>
      </c>
      <c r="I90" s="5">
        <v>0</v>
      </c>
      <c r="J90" s="5">
        <v>0</v>
      </c>
      <c r="K90" s="5"/>
      <c r="L90" s="6">
        <v>125</v>
      </c>
      <c r="M90" s="61">
        <v>55</v>
      </c>
      <c r="N90" s="6">
        <f>12.5+(57.5)*0.7</f>
        <v>52.75</v>
      </c>
    </row>
    <row r="91" spans="1:14">
      <c r="A91" s="44" t="s">
        <v>168</v>
      </c>
      <c r="B91" s="44"/>
      <c r="C91" s="4">
        <v>44636</v>
      </c>
      <c r="D91" s="4"/>
      <c r="E91" s="4">
        <v>44659</v>
      </c>
      <c r="F91" s="40"/>
      <c r="G91" s="5"/>
      <c r="H91" s="5">
        <v>13.72</v>
      </c>
      <c r="I91" s="5">
        <f>55/30*24</f>
        <v>44</v>
      </c>
      <c r="J91" s="5">
        <v>80</v>
      </c>
      <c r="K91" s="5"/>
      <c r="L91" s="6">
        <v>120</v>
      </c>
      <c r="M91" s="61">
        <v>55</v>
      </c>
      <c r="N91" s="6">
        <f>10+(110-M91)*0.7</f>
        <v>48.5</v>
      </c>
    </row>
    <row r="92" spans="1:14">
      <c r="A92" s="44" t="s">
        <v>171</v>
      </c>
      <c r="B92" s="44"/>
      <c r="C92" s="4">
        <v>44648</v>
      </c>
      <c r="D92" s="4"/>
      <c r="E92" s="4">
        <v>44734</v>
      </c>
      <c r="F92" s="40"/>
      <c r="G92" s="5"/>
      <c r="H92" s="5">
        <v>13.72</v>
      </c>
      <c r="I92" s="5">
        <f>56/30*84</f>
        <v>156.80000000000001</v>
      </c>
      <c r="J92" s="5">
        <v>95</v>
      </c>
      <c r="K92" s="5"/>
      <c r="L92" s="6">
        <v>140</v>
      </c>
      <c r="M92" s="61">
        <v>56</v>
      </c>
      <c r="N92" s="6">
        <f>(140-56)*0.7</f>
        <v>58.8</v>
      </c>
    </row>
    <row r="93" spans="1:14">
      <c r="A93" s="44" t="s">
        <v>172</v>
      </c>
      <c r="B93" s="44"/>
      <c r="C93" s="4">
        <v>44705</v>
      </c>
      <c r="D93" s="4"/>
      <c r="E93" s="4">
        <v>44715</v>
      </c>
      <c r="F93" s="40"/>
      <c r="G93" s="5"/>
      <c r="H93" s="5">
        <v>10.039999999999999</v>
      </c>
      <c r="I93" s="5">
        <f>25/30*9</f>
        <v>7.5</v>
      </c>
      <c r="J93" s="5"/>
      <c r="K93" s="5"/>
      <c r="L93" s="6">
        <v>50</v>
      </c>
      <c r="M93" s="61">
        <v>25</v>
      </c>
      <c r="N93" s="6">
        <f>(50-25)*0.7</f>
        <v>17.5</v>
      </c>
    </row>
    <row r="94" spans="1:14">
      <c r="A94" s="44" t="s">
        <v>173</v>
      </c>
      <c r="B94" s="44"/>
      <c r="C94" s="4">
        <v>44704</v>
      </c>
      <c r="D94" s="4"/>
      <c r="E94" s="4">
        <v>44721</v>
      </c>
      <c r="F94" s="10" t="s">
        <v>161</v>
      </c>
      <c r="G94" s="56">
        <v>12.5</v>
      </c>
      <c r="H94" s="5">
        <v>13.72</v>
      </c>
      <c r="I94" s="5">
        <f>37/30*16</f>
        <v>19.733333333333334</v>
      </c>
      <c r="J94" s="5">
        <f>50+45</f>
        <v>95</v>
      </c>
      <c r="K94" s="5"/>
      <c r="L94" s="6">
        <v>110</v>
      </c>
      <c r="M94" s="61">
        <v>37</v>
      </c>
      <c r="N94" s="56">
        <f>12.5+(97.5-37)*0.7</f>
        <v>54.849999999999994</v>
      </c>
    </row>
    <row r="95" spans="1:14">
      <c r="A95" s="44" t="s">
        <v>174</v>
      </c>
      <c r="B95" s="44"/>
      <c r="C95" s="4">
        <v>44715</v>
      </c>
      <c r="D95" s="4"/>
      <c r="E95" s="4">
        <v>44820</v>
      </c>
      <c r="F95" s="10" t="s">
        <v>161</v>
      </c>
      <c r="G95" s="56">
        <v>15</v>
      </c>
      <c r="H95" s="5">
        <v>14.6</v>
      </c>
      <c r="I95" s="5">
        <f>56/30*103</f>
        <v>192.26666666666668</v>
      </c>
      <c r="J95" s="5">
        <v>50</v>
      </c>
      <c r="K95" s="5"/>
      <c r="L95" s="6">
        <f>130</f>
        <v>130</v>
      </c>
      <c r="M95" s="61">
        <v>56</v>
      </c>
      <c r="N95" s="56">
        <f>15+(115-56)*0.7</f>
        <v>56.3</v>
      </c>
    </row>
    <row r="96" spans="1:14">
      <c r="A96" s="44" t="s">
        <v>183</v>
      </c>
      <c r="B96" s="44"/>
      <c r="C96" s="4">
        <v>44749</v>
      </c>
      <c r="D96" s="4">
        <v>44830</v>
      </c>
      <c r="E96" s="4">
        <v>44858</v>
      </c>
      <c r="F96" s="40"/>
      <c r="G96" s="5"/>
      <c r="H96" s="5">
        <v>11.03</v>
      </c>
      <c r="I96" s="5">
        <v>25</v>
      </c>
      <c r="J96" s="5">
        <v>15</v>
      </c>
      <c r="K96" s="5"/>
      <c r="L96" s="6">
        <v>80</v>
      </c>
      <c r="M96" s="61">
        <v>25</v>
      </c>
      <c r="N96" s="6">
        <f>55*0.7</f>
        <v>38.5</v>
      </c>
    </row>
    <row r="97" spans="1:14">
      <c r="A97" s="44" t="s">
        <v>184</v>
      </c>
      <c r="B97" s="44"/>
      <c r="C97" s="4">
        <v>44775</v>
      </c>
      <c r="D97" s="4">
        <v>44810</v>
      </c>
      <c r="E97" s="4">
        <v>44848</v>
      </c>
      <c r="F97" s="40"/>
      <c r="G97" s="5"/>
      <c r="H97" s="5">
        <v>23.38</v>
      </c>
      <c r="I97" s="5">
        <f>100/30*38</f>
        <v>126.66666666666667</v>
      </c>
      <c r="J97" s="5">
        <v>155</v>
      </c>
      <c r="K97" s="5"/>
      <c r="L97" s="6">
        <v>220</v>
      </c>
      <c r="M97" s="61">
        <v>100</v>
      </c>
      <c r="N97" s="6">
        <v>90.75</v>
      </c>
    </row>
    <row r="98" spans="1:14">
      <c r="A98" s="44" t="s">
        <v>185</v>
      </c>
      <c r="B98" s="44"/>
      <c r="C98" s="4">
        <v>44830</v>
      </c>
      <c r="D98" s="4">
        <v>44852</v>
      </c>
      <c r="E98" s="4">
        <v>44858</v>
      </c>
      <c r="F98" s="10" t="s">
        <v>161</v>
      </c>
      <c r="G98" s="12">
        <v>12.5</v>
      </c>
      <c r="H98" s="5">
        <v>23.38</v>
      </c>
      <c r="I98" s="5">
        <f>54.5/30*6</f>
        <v>10.9</v>
      </c>
      <c r="J98" s="5">
        <v>95</v>
      </c>
      <c r="K98" s="5"/>
      <c r="L98" s="6">
        <v>140</v>
      </c>
      <c r="M98" s="61">
        <v>55.5</v>
      </c>
      <c r="N98" s="6">
        <f>12.5+(127.5-55.5)*0.7</f>
        <v>62.9</v>
      </c>
    </row>
    <row r="99" spans="1:14">
      <c r="A99" s="44" t="s">
        <v>190</v>
      </c>
      <c r="B99" s="44"/>
      <c r="C99" s="4"/>
      <c r="D99" s="4">
        <v>44879</v>
      </c>
      <c r="E99" s="35">
        <v>44887</v>
      </c>
      <c r="F99" s="44" t="s">
        <v>161</v>
      </c>
      <c r="G99" s="56">
        <v>10</v>
      </c>
      <c r="H99" s="5">
        <v>14.6</v>
      </c>
      <c r="I99" s="5">
        <f>34/30*8</f>
        <v>9.0666666666666664</v>
      </c>
      <c r="J99" s="5">
        <v>45</v>
      </c>
      <c r="K99" s="5"/>
      <c r="L99" s="6">
        <v>90</v>
      </c>
      <c r="M99" s="61">
        <v>34</v>
      </c>
      <c r="N99" s="56">
        <f>10+(80-34)*0.7</f>
        <v>42.199999999999996</v>
      </c>
    </row>
    <row r="100" spans="1:14">
      <c r="A100" s="44" t="s">
        <v>193</v>
      </c>
      <c r="B100" s="44"/>
      <c r="C100" s="4">
        <v>44872</v>
      </c>
      <c r="D100" s="4">
        <v>44879</v>
      </c>
      <c r="E100" s="35">
        <v>44882</v>
      </c>
      <c r="F100" s="40"/>
      <c r="G100" s="5"/>
      <c r="H100" s="5">
        <v>10.039999999999999</v>
      </c>
      <c r="I100" s="5">
        <f>25/30*3</f>
        <v>2.5</v>
      </c>
      <c r="J100" s="5"/>
      <c r="K100" s="5"/>
      <c r="L100" s="6">
        <v>40</v>
      </c>
      <c r="M100" s="61">
        <v>25</v>
      </c>
      <c r="N100" s="6">
        <f>(L100-M100)*0.7</f>
        <v>10.5</v>
      </c>
    </row>
    <row r="101" spans="1:14">
      <c r="A101" s="44" t="s">
        <v>213</v>
      </c>
      <c r="B101" s="44"/>
      <c r="C101" s="4">
        <v>44894</v>
      </c>
      <c r="D101" s="4">
        <v>44908</v>
      </c>
      <c r="E101" s="35">
        <v>44944</v>
      </c>
      <c r="F101" s="40" t="s">
        <v>161</v>
      </c>
      <c r="G101" s="5">
        <v>15</v>
      </c>
      <c r="H101" s="5">
        <v>31.72</v>
      </c>
      <c r="I101" s="5">
        <f>50/30*35</f>
        <v>58.333333333333336</v>
      </c>
      <c r="J101" s="5">
        <f>60+50</f>
        <v>110</v>
      </c>
      <c r="K101" s="5"/>
      <c r="L101" s="6">
        <v>130</v>
      </c>
      <c r="M101" s="61">
        <f>19+2+3.5*2+11*2</f>
        <v>50</v>
      </c>
      <c r="N101" s="94">
        <f>15+(L101-M101-15)*0.7</f>
        <v>60.5</v>
      </c>
    </row>
    <row r="102" spans="1:14">
      <c r="A102" s="44" t="s">
        <v>227</v>
      </c>
      <c r="B102" s="44"/>
      <c r="C102" s="4">
        <v>44949</v>
      </c>
      <c r="D102" s="4">
        <v>44953</v>
      </c>
      <c r="E102" s="35">
        <v>44966</v>
      </c>
      <c r="F102" s="40" t="s">
        <v>160</v>
      </c>
      <c r="G102" s="5">
        <v>15</v>
      </c>
      <c r="H102" s="5">
        <v>16.38</v>
      </c>
      <c r="I102" s="5">
        <f>61.5/30*12</f>
        <v>24.599999999999998</v>
      </c>
      <c r="J102" s="5">
        <f>50+60</f>
        <v>110</v>
      </c>
      <c r="K102" s="5"/>
      <c r="L102" s="6">
        <v>160</v>
      </c>
      <c r="M102" s="65">
        <f>32.5+7+22</f>
        <v>61.5</v>
      </c>
      <c r="N102" s="59">
        <f>15+(L102-M102-15)*0.7</f>
        <v>73.449999999999989</v>
      </c>
    </row>
    <row r="103" spans="1:14">
      <c r="A103" s="44" t="s">
        <v>228</v>
      </c>
      <c r="B103" s="44"/>
      <c r="C103" s="4">
        <v>44957</v>
      </c>
      <c r="D103" s="4">
        <v>44957</v>
      </c>
      <c r="E103" s="35">
        <v>44977</v>
      </c>
      <c r="F103" s="40"/>
      <c r="G103" s="5"/>
      <c r="H103" s="5">
        <v>20.61</v>
      </c>
      <c r="I103" s="5">
        <f>66/30*20</f>
        <v>44</v>
      </c>
      <c r="J103" s="5">
        <v>90</v>
      </c>
      <c r="K103" s="5"/>
      <c r="L103" s="6">
        <v>155</v>
      </c>
      <c r="M103" s="65">
        <v>54</v>
      </c>
      <c r="N103" s="59">
        <f>(L103-M103)*0.7</f>
        <v>70.699999999999989</v>
      </c>
    </row>
    <row r="104" spans="1:14">
      <c r="A104" s="44" t="s">
        <v>255</v>
      </c>
      <c r="B104" s="44"/>
      <c r="C104" s="35">
        <v>44691</v>
      </c>
      <c r="D104" s="35">
        <v>44994</v>
      </c>
      <c r="E104" s="4">
        <v>44994</v>
      </c>
      <c r="F104" s="40"/>
      <c r="G104" s="40"/>
      <c r="H104" s="5">
        <v>11.03</v>
      </c>
      <c r="I104" s="40">
        <f>25*14</f>
        <v>350</v>
      </c>
      <c r="J104" s="40">
        <f>30+50</f>
        <v>80</v>
      </c>
      <c r="K104" s="40"/>
      <c r="L104" s="6">
        <v>90</v>
      </c>
      <c r="M104" s="6">
        <v>25</v>
      </c>
      <c r="N104" s="59">
        <v>48.5</v>
      </c>
    </row>
    <row r="105" spans="1:14">
      <c r="A105" s="44" t="s">
        <v>187</v>
      </c>
      <c r="B105" s="44"/>
      <c r="C105" s="35"/>
      <c r="D105" s="35">
        <v>44991</v>
      </c>
      <c r="E105" s="4">
        <v>44991</v>
      </c>
      <c r="F105" s="40"/>
      <c r="G105" s="40"/>
      <c r="H105" s="5">
        <v>13.31</v>
      </c>
      <c r="I105" s="40"/>
      <c r="J105" s="40">
        <v>45</v>
      </c>
      <c r="K105" s="40"/>
      <c r="L105" s="6">
        <v>80</v>
      </c>
      <c r="M105" s="6">
        <v>27</v>
      </c>
      <c r="N105" s="59">
        <f>(L105-M105)*0.7</f>
        <v>37.099999999999994</v>
      </c>
    </row>
    <row r="106" spans="1:14">
      <c r="A106" s="76" t="s">
        <v>276</v>
      </c>
      <c r="B106" s="44"/>
      <c r="C106" s="35">
        <v>45061</v>
      </c>
      <c r="D106" s="35">
        <v>45070</v>
      </c>
      <c r="E106" s="4"/>
      <c r="F106" s="40"/>
      <c r="G106" s="40"/>
      <c r="H106" s="5">
        <v>11.48</v>
      </c>
      <c r="I106" s="40">
        <f>21/30*9</f>
        <v>6.3</v>
      </c>
      <c r="J106" s="40"/>
      <c r="K106" s="40"/>
      <c r="L106" s="17">
        <f>50</f>
        <v>50</v>
      </c>
      <c r="M106" s="18">
        <v>21</v>
      </c>
      <c r="N106" s="70">
        <f>(50-21)*0.7</f>
        <v>20.299999999999997</v>
      </c>
    </row>
    <row r="107" spans="1:14">
      <c r="A107" s="76" t="s">
        <v>279</v>
      </c>
      <c r="B107" s="44"/>
      <c r="C107" s="35">
        <v>45065</v>
      </c>
      <c r="D107" s="35">
        <v>45070</v>
      </c>
      <c r="E107" s="4"/>
      <c r="F107" s="40"/>
      <c r="G107" s="40"/>
      <c r="H107" s="5">
        <v>11.48</v>
      </c>
      <c r="I107" s="40">
        <f>21/30*5</f>
        <v>3.5</v>
      </c>
      <c r="J107" s="40"/>
      <c r="K107" s="40"/>
      <c r="L107" s="17">
        <f>50</f>
        <v>50</v>
      </c>
      <c r="M107" s="18">
        <v>21</v>
      </c>
      <c r="N107" s="70">
        <f>(50-21)*0.7</f>
        <v>20.299999999999997</v>
      </c>
    </row>
    <row r="108" spans="1:14">
      <c r="A108" s="76" t="s">
        <v>278</v>
      </c>
      <c r="B108" s="52"/>
      <c r="C108" s="57">
        <v>44973</v>
      </c>
      <c r="D108" s="57">
        <v>45070</v>
      </c>
      <c r="E108" s="24"/>
      <c r="F108" s="48"/>
      <c r="G108" s="48"/>
      <c r="H108" s="25">
        <v>11.48</v>
      </c>
      <c r="I108" s="48">
        <f>21/30*98</f>
        <v>68.599999999999994</v>
      </c>
      <c r="J108" s="48"/>
      <c r="K108" s="48"/>
      <c r="L108" s="17">
        <v>50</v>
      </c>
      <c r="M108" s="26">
        <v>21</v>
      </c>
      <c r="N108" s="85">
        <f>(50-21)*0.7</f>
        <v>20.299999999999997</v>
      </c>
    </row>
    <row r="109" spans="1:14">
      <c r="A109" s="44" t="s">
        <v>289</v>
      </c>
      <c r="B109" s="44"/>
      <c r="C109" s="35">
        <v>45110</v>
      </c>
      <c r="D109" s="35">
        <v>45127</v>
      </c>
      <c r="E109" s="4">
        <v>45110</v>
      </c>
      <c r="F109" s="40"/>
      <c r="G109" s="40"/>
      <c r="H109" s="5">
        <v>13.31</v>
      </c>
      <c r="I109" s="40">
        <f>27/30*17</f>
        <v>15.3</v>
      </c>
      <c r="J109" s="40">
        <v>45</v>
      </c>
      <c r="K109" s="40"/>
      <c r="L109" s="6">
        <v>75</v>
      </c>
      <c r="M109" s="6">
        <v>27</v>
      </c>
      <c r="N109" s="59">
        <f>(L109-M109)*0.7</f>
        <v>33.599999999999994</v>
      </c>
    </row>
    <row r="110" spans="1:14">
      <c r="A110" s="44" t="s">
        <v>292</v>
      </c>
      <c r="B110" s="44"/>
      <c r="C110" s="35">
        <v>45138</v>
      </c>
      <c r="D110" s="35">
        <v>45139</v>
      </c>
      <c r="E110" s="35">
        <v>45162</v>
      </c>
      <c r="F110" s="40"/>
      <c r="G110" s="40"/>
      <c r="H110" s="5">
        <v>12.48</v>
      </c>
      <c r="I110" s="40">
        <f>27/30*23</f>
        <v>20.7</v>
      </c>
      <c r="J110" s="40">
        <v>45</v>
      </c>
      <c r="K110" s="40"/>
      <c r="L110" s="6">
        <v>90</v>
      </c>
      <c r="M110" s="6">
        <v>27</v>
      </c>
      <c r="N110" s="59">
        <f>(L110-M110)*0.7</f>
        <v>44.099999999999994</v>
      </c>
    </row>
    <row r="111" spans="1:14">
      <c r="A111" s="44" t="s">
        <v>293</v>
      </c>
      <c r="B111" s="44"/>
      <c r="C111" s="35">
        <v>45086</v>
      </c>
      <c r="D111" s="35">
        <v>45089</v>
      </c>
      <c r="E111" s="4">
        <v>45103</v>
      </c>
      <c r="F111" s="40"/>
      <c r="G111" s="40"/>
      <c r="H111" s="5">
        <v>11.03</v>
      </c>
      <c r="I111" s="40">
        <f>21/30*14</f>
        <v>9.7999999999999989</v>
      </c>
      <c r="J111" s="40"/>
      <c r="K111" s="40"/>
      <c r="L111" s="6">
        <v>50</v>
      </c>
      <c r="M111" s="6">
        <v>21</v>
      </c>
      <c r="N111" s="59">
        <f>(L111-M111)*0.7</f>
        <v>20.299999999999997</v>
      </c>
    </row>
    <row r="112" spans="1:14">
      <c r="A112" s="44" t="s">
        <v>295</v>
      </c>
      <c r="B112" s="44"/>
      <c r="C112" s="35">
        <v>45228</v>
      </c>
      <c r="D112" s="35">
        <v>45203</v>
      </c>
      <c r="E112" s="4"/>
      <c r="F112" s="40"/>
      <c r="G112" s="40"/>
      <c r="H112" s="5">
        <v>13.31</v>
      </c>
      <c r="I112" s="40">
        <f>27/30*5</f>
        <v>4.5</v>
      </c>
      <c r="J112" s="40">
        <v>45</v>
      </c>
      <c r="K112" s="40"/>
      <c r="L112" s="6">
        <v>80</v>
      </c>
      <c r="M112" s="6">
        <v>27</v>
      </c>
      <c r="N112" s="59">
        <f>(L112-M112)*0.7</f>
        <v>37.099999999999994</v>
      </c>
    </row>
    <row r="113" spans="1:14">
      <c r="A113" s="44" t="s">
        <v>320</v>
      </c>
      <c r="B113" s="44"/>
      <c r="C113" s="35">
        <v>45177</v>
      </c>
      <c r="D113" s="35">
        <v>45196</v>
      </c>
      <c r="E113" s="4"/>
      <c r="F113" s="40"/>
      <c r="G113" s="40"/>
      <c r="H113" s="5">
        <v>10.44</v>
      </c>
      <c r="I113" s="40">
        <f>38/30*21</f>
        <v>26.599999999999998</v>
      </c>
      <c r="J113" s="40"/>
      <c r="K113" s="40"/>
      <c r="L113" s="6">
        <v>69</v>
      </c>
      <c r="M113" s="6">
        <v>38</v>
      </c>
      <c r="N113" s="59">
        <f>(69-38)*0.7</f>
        <v>21.7</v>
      </c>
    </row>
    <row r="114" spans="1:14">
      <c r="A114" s="10" t="s">
        <v>325</v>
      </c>
      <c r="B114" s="44"/>
      <c r="C114" s="35"/>
      <c r="D114" s="35">
        <v>45223</v>
      </c>
      <c r="E114" s="4">
        <v>45239</v>
      </c>
      <c r="F114" s="40"/>
      <c r="G114" s="40"/>
      <c r="H114" s="5">
        <v>40</v>
      </c>
      <c r="I114" s="40">
        <f>43/30*15</f>
        <v>21.5</v>
      </c>
      <c r="J114" s="40"/>
      <c r="K114" s="40"/>
      <c r="L114" s="6">
        <v>69</v>
      </c>
      <c r="M114" s="6">
        <v>43</v>
      </c>
      <c r="N114" s="59">
        <f>(69-43)/30*21*0.7</f>
        <v>12.739999999999998</v>
      </c>
    </row>
    <row r="115" spans="1:14">
      <c r="A115" s="44" t="s">
        <v>326</v>
      </c>
      <c r="B115" s="44"/>
      <c r="C115" s="35"/>
      <c r="D115" s="35">
        <v>45188</v>
      </c>
      <c r="E115" s="4">
        <v>45209</v>
      </c>
      <c r="F115" s="40"/>
      <c r="G115" s="40"/>
      <c r="H115" s="5">
        <v>11.48</v>
      </c>
      <c r="I115" s="40"/>
      <c r="J115" s="40"/>
      <c r="K115" s="40"/>
      <c r="L115" s="6">
        <v>59</v>
      </c>
      <c r="M115" s="6">
        <v>38</v>
      </c>
      <c r="N115" s="59">
        <f>(L115-M115)*0.7</f>
        <v>14.7</v>
      </c>
    </row>
    <row r="116" spans="1:14">
      <c r="A116" s="44" t="s">
        <v>108</v>
      </c>
      <c r="B116" s="44"/>
      <c r="C116" s="35"/>
      <c r="D116" s="35">
        <v>45231</v>
      </c>
      <c r="E116" s="4">
        <v>45231</v>
      </c>
      <c r="F116" s="40"/>
      <c r="G116" s="40"/>
      <c r="H116" s="5"/>
      <c r="I116" s="40"/>
      <c r="J116" s="40"/>
      <c r="K116" s="40"/>
      <c r="L116" s="6">
        <v>69</v>
      </c>
      <c r="M116" s="6">
        <v>43</v>
      </c>
      <c r="N116" s="59">
        <f>(L116-M116)*0.7</f>
        <v>18.2</v>
      </c>
    </row>
    <row r="117" spans="1:14">
      <c r="A117" s="44" t="s">
        <v>327</v>
      </c>
      <c r="B117" s="44"/>
      <c r="C117" s="35"/>
      <c r="D117" s="35"/>
      <c r="E117" s="4">
        <v>45127</v>
      </c>
      <c r="F117" s="40"/>
      <c r="G117" s="40"/>
      <c r="H117" s="5">
        <v>11.48</v>
      </c>
      <c r="I117" s="40"/>
      <c r="J117" s="40"/>
      <c r="K117" s="40"/>
      <c r="L117" s="6">
        <v>25</v>
      </c>
      <c r="M117" s="6">
        <v>9</v>
      </c>
      <c r="N117" s="59">
        <f>(L117-M117)*0.7</f>
        <v>11.2</v>
      </c>
    </row>
    <row r="118" spans="1:14">
      <c r="C118" s="36"/>
      <c r="D118" s="36"/>
      <c r="F118" s="28"/>
      <c r="G118" s="28"/>
      <c r="H118" s="30"/>
      <c r="I118" s="28"/>
      <c r="M118" s="62" t="s">
        <v>4</v>
      </c>
      <c r="N118" s="18">
        <f>SUM(N2:N117)</f>
        <v>4298.3</v>
      </c>
    </row>
    <row r="119" spans="1:14">
      <c r="C119" s="36"/>
      <c r="D119" s="36"/>
      <c r="F119" s="28"/>
      <c r="G119" s="28"/>
      <c r="H119" s="30"/>
      <c r="I119" s="28"/>
      <c r="M119" s="61" t="s">
        <v>251</v>
      </c>
      <c r="N119" s="6"/>
    </row>
    <row r="120" spans="1:14">
      <c r="C120" s="36"/>
      <c r="D120" s="36"/>
      <c r="F120" s="28"/>
      <c r="G120" s="28"/>
      <c r="H120" s="30"/>
      <c r="I120" s="28"/>
    </row>
    <row r="122" spans="1:14">
      <c r="A122" s="28"/>
      <c r="B122" s="28"/>
      <c r="E122" s="15"/>
      <c r="F122" s="1"/>
      <c r="G122" s="1"/>
      <c r="H122" s="1"/>
      <c r="I122" s="1"/>
      <c r="J122" s="1"/>
      <c r="K122" s="1"/>
      <c r="L122" s="1" t="s">
        <v>328</v>
      </c>
      <c r="M122" s="1"/>
      <c r="N122" s="29">
        <v>25.85</v>
      </c>
    </row>
    <row r="123" spans="1:14">
      <c r="L123" s="1" t="s">
        <v>324</v>
      </c>
      <c r="M123" s="1"/>
      <c r="N123">
        <v>21</v>
      </c>
    </row>
    <row r="124" spans="1:14">
      <c r="H124" s="30"/>
      <c r="L124" s="1"/>
      <c r="M124"/>
    </row>
    <row r="125" spans="1:14">
      <c r="I125" s="42"/>
      <c r="M125"/>
    </row>
  </sheetData>
  <autoFilter ref="A1:P119">
    <sortState ref="A2:P103">
      <sortCondition ref="B1:B103"/>
    </sortState>
  </autoFilter>
  <pageMargins left="0.7" right="0.7" top="0.75" bottom="0.75" header="0.3" footer="0.3"/>
  <pageSetup paperSize="9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>
  <dimension ref="A1:P125"/>
  <sheetViews>
    <sheetView topLeftCell="B107" workbookViewId="0">
      <selection activeCell="L98" sqref="L98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3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5"/>
      <c r="J2" s="5"/>
      <c r="K2" s="5">
        <f>F2+H2+J2</f>
        <v>10</v>
      </c>
      <c r="L2" s="6">
        <v>40</v>
      </c>
      <c r="M2" s="61">
        <v>25</v>
      </c>
      <c r="N2" s="6">
        <f t="shared" ref="N2:N33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5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5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5"/>
      <c r="J5" s="5"/>
      <c r="K5" s="5"/>
      <c r="L5" s="6">
        <v>50</v>
      </c>
      <c r="M5" s="61">
        <v>22</v>
      </c>
      <c r="N5" s="6">
        <f t="shared" si="0"/>
        <v>19.599999999999998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5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5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5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5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5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5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5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5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5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5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5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5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5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40</v>
      </c>
      <c r="B19" s="2"/>
      <c r="C19" s="4">
        <v>43106</v>
      </c>
      <c r="D19" s="4"/>
      <c r="E19" s="4">
        <v>43146</v>
      </c>
      <c r="F19" s="5"/>
      <c r="G19" s="49"/>
      <c r="H19" s="5">
        <v>8.2899999999999991</v>
      </c>
      <c r="I19" s="5">
        <f>25/30*39</f>
        <v>32.5</v>
      </c>
      <c r="J19" s="5"/>
      <c r="K19" s="5"/>
      <c r="L19" s="6">
        <v>70</v>
      </c>
      <c r="M19" s="61">
        <v>26</v>
      </c>
      <c r="N19" s="6">
        <f t="shared" si="0"/>
        <v>30.799999999999997</v>
      </c>
    </row>
    <row r="20" spans="1:15">
      <c r="A20" s="2" t="s">
        <v>44</v>
      </c>
      <c r="B20" s="2"/>
      <c r="C20" s="4">
        <v>43196</v>
      </c>
      <c r="D20" s="4"/>
      <c r="E20" s="4">
        <v>43250</v>
      </c>
      <c r="F20" s="5"/>
      <c r="G20" s="49"/>
      <c r="H20" s="5">
        <v>13.78</v>
      </c>
      <c r="I20" s="5">
        <f>25*24/30+25</f>
        <v>45</v>
      </c>
      <c r="J20" s="5"/>
      <c r="K20" s="5"/>
      <c r="L20" s="6">
        <v>11</v>
      </c>
      <c r="M20" s="61">
        <v>25</v>
      </c>
      <c r="N20" s="6">
        <v>9.7999999999999989</v>
      </c>
    </row>
    <row r="21" spans="1:15">
      <c r="A21" s="22" t="s">
        <v>47</v>
      </c>
      <c r="B21" s="22"/>
      <c r="C21" s="4">
        <v>43355</v>
      </c>
      <c r="D21" s="4"/>
      <c r="E21" s="4">
        <v>43277</v>
      </c>
      <c r="F21" s="5"/>
      <c r="G21" s="49"/>
      <c r="H21" s="5">
        <v>19.98</v>
      </c>
      <c r="I21" s="5">
        <f>36*2+36/30*16</f>
        <v>91.2</v>
      </c>
      <c r="J21" s="5"/>
      <c r="K21" s="5"/>
      <c r="L21" s="6">
        <v>105</v>
      </c>
      <c r="M21" s="61">
        <v>36</v>
      </c>
      <c r="N21" s="6">
        <f t="shared" si="0"/>
        <v>48.3</v>
      </c>
    </row>
    <row r="22" spans="1:15">
      <c r="A22" s="22" t="s">
        <v>48</v>
      </c>
      <c r="B22" s="22"/>
      <c r="C22" s="4">
        <v>43367</v>
      </c>
      <c r="D22" s="4"/>
      <c r="E22" s="4">
        <v>43284</v>
      </c>
      <c r="F22" s="5"/>
      <c r="G22" s="49"/>
      <c r="H22" s="5">
        <v>9.1</v>
      </c>
      <c r="I22" s="5">
        <f>25+25/30*27</f>
        <v>47.5</v>
      </c>
      <c r="J22" s="5"/>
      <c r="K22" s="5"/>
      <c r="L22" s="6">
        <v>75</v>
      </c>
      <c r="M22" s="61">
        <v>25</v>
      </c>
      <c r="N22" s="6">
        <f t="shared" si="0"/>
        <v>35</v>
      </c>
    </row>
    <row r="23" spans="1:15">
      <c r="A23" s="2" t="s">
        <v>45</v>
      </c>
      <c r="B23" s="2"/>
      <c r="C23" s="4"/>
      <c r="D23" s="4"/>
      <c r="E23" s="4">
        <v>43286</v>
      </c>
      <c r="F23" s="5"/>
      <c r="G23" s="49"/>
      <c r="H23" s="5">
        <v>11.56</v>
      </c>
      <c r="I23" s="5"/>
      <c r="J23" s="5"/>
      <c r="K23" s="5"/>
      <c r="L23" s="6">
        <v>150</v>
      </c>
      <c r="M23" s="61">
        <v>76</v>
      </c>
      <c r="N23" s="6">
        <f t="shared" si="0"/>
        <v>51.8</v>
      </c>
      <c r="O23" s="20"/>
    </row>
    <row r="24" spans="1:15">
      <c r="A24" s="22" t="s">
        <v>49</v>
      </c>
      <c r="B24" s="22"/>
      <c r="C24" s="4">
        <v>43367</v>
      </c>
      <c r="D24" s="4"/>
      <c r="E24" s="4">
        <v>43291</v>
      </c>
      <c r="F24" s="5"/>
      <c r="G24" s="49"/>
      <c r="H24" s="5">
        <v>10.039999999999999</v>
      </c>
      <c r="I24" s="5">
        <f>50+25/30*14</f>
        <v>61.666666666666671</v>
      </c>
      <c r="J24" s="5"/>
      <c r="K24" s="5"/>
      <c r="L24" s="6">
        <v>50</v>
      </c>
      <c r="M24" s="61">
        <v>22</v>
      </c>
      <c r="N24" s="18">
        <f t="shared" si="0"/>
        <v>19.599999999999998</v>
      </c>
    </row>
    <row r="25" spans="1:15">
      <c r="A25" s="22" t="s">
        <v>51</v>
      </c>
      <c r="B25" s="22"/>
      <c r="C25" s="4">
        <v>43358</v>
      </c>
      <c r="D25" s="4"/>
      <c r="E25" s="4">
        <v>43291</v>
      </c>
      <c r="F25" s="5"/>
      <c r="G25" s="49"/>
      <c r="H25" s="5">
        <v>10.039999999999999</v>
      </c>
      <c r="I25" s="5">
        <f>50+25/30*5</f>
        <v>54.166666666666664</v>
      </c>
      <c r="J25" s="5"/>
      <c r="K25" s="5"/>
      <c r="L25" s="6">
        <v>75</v>
      </c>
      <c r="M25" s="61">
        <v>25</v>
      </c>
      <c r="N25" s="6">
        <f t="shared" si="0"/>
        <v>35</v>
      </c>
    </row>
    <row r="26" spans="1:15">
      <c r="A26" s="22" t="s">
        <v>52</v>
      </c>
      <c r="B26" s="22"/>
      <c r="C26" s="4">
        <v>43367</v>
      </c>
      <c r="D26" s="4"/>
      <c r="E26" s="4">
        <v>43308</v>
      </c>
      <c r="F26" s="5"/>
      <c r="G26" s="49"/>
      <c r="H26" s="5">
        <v>10.86</v>
      </c>
      <c r="I26" s="5">
        <f>25+25/30*27</f>
        <v>47.5</v>
      </c>
      <c r="J26" s="5"/>
      <c r="K26" s="5"/>
      <c r="L26" s="6">
        <v>75</v>
      </c>
      <c r="M26" s="61">
        <v>25</v>
      </c>
      <c r="N26" s="27">
        <f t="shared" si="0"/>
        <v>35</v>
      </c>
    </row>
    <row r="27" spans="1:15">
      <c r="A27" s="22" t="s">
        <v>50</v>
      </c>
      <c r="B27" s="22"/>
      <c r="C27" s="4">
        <v>43367</v>
      </c>
      <c r="D27" s="4"/>
      <c r="E27" s="4">
        <v>43312</v>
      </c>
      <c r="F27" s="5"/>
      <c r="G27" s="49"/>
      <c r="H27" s="5">
        <v>10.86</v>
      </c>
      <c r="I27" s="5">
        <f>25+25/30*24</f>
        <v>45</v>
      </c>
      <c r="J27" s="5"/>
      <c r="K27" s="5"/>
      <c r="L27" s="6">
        <v>70</v>
      </c>
      <c r="M27" s="61">
        <v>25</v>
      </c>
      <c r="N27" s="6">
        <f t="shared" si="0"/>
        <v>31.499999999999996</v>
      </c>
    </row>
    <row r="28" spans="1:15">
      <c r="A28" s="22" t="s">
        <v>55</v>
      </c>
      <c r="B28" s="22"/>
      <c r="C28" s="4">
        <v>43363</v>
      </c>
      <c r="D28" s="4"/>
      <c r="E28" s="4">
        <v>43440</v>
      </c>
      <c r="F28" s="5"/>
      <c r="G28" s="49"/>
      <c r="H28" s="5">
        <v>14.11</v>
      </c>
      <c r="I28" s="5">
        <f>25*2+25*16/30</f>
        <v>63.333333333333336</v>
      </c>
      <c r="J28" s="5"/>
      <c r="K28" s="5"/>
      <c r="L28" s="6">
        <v>75</v>
      </c>
      <c r="M28" s="61">
        <v>25</v>
      </c>
      <c r="N28" s="6">
        <f t="shared" si="0"/>
        <v>35</v>
      </c>
    </row>
    <row r="29" spans="1:15">
      <c r="A29" s="22" t="s">
        <v>54</v>
      </c>
      <c r="B29" s="22"/>
      <c r="C29" s="4">
        <v>43167</v>
      </c>
      <c r="D29" s="4"/>
      <c r="E29" s="4">
        <v>43455</v>
      </c>
      <c r="F29" s="5"/>
      <c r="G29" s="49"/>
      <c r="H29" s="5">
        <v>10.86</v>
      </c>
      <c r="I29" s="5">
        <f>9*25+25*13/30</f>
        <v>235.83333333333334</v>
      </c>
      <c r="J29" s="5"/>
      <c r="K29" s="5"/>
      <c r="L29" s="6">
        <v>90</v>
      </c>
      <c r="M29" s="61">
        <v>36</v>
      </c>
      <c r="N29" s="6">
        <f t="shared" si="0"/>
        <v>37.799999999999997</v>
      </c>
    </row>
    <row r="30" spans="1:15">
      <c r="A30" s="22" t="s">
        <v>57</v>
      </c>
      <c r="B30" s="55"/>
      <c r="C30" s="31">
        <v>43478</v>
      </c>
      <c r="D30" s="31"/>
      <c r="E30" s="4">
        <v>43536</v>
      </c>
      <c r="F30" s="5"/>
      <c r="G30" s="49"/>
      <c r="H30" s="5">
        <v>10.86</v>
      </c>
      <c r="I30" s="5">
        <v>25</v>
      </c>
      <c r="J30" s="5"/>
      <c r="K30" s="5"/>
      <c r="L30" s="6">
        <v>70</v>
      </c>
      <c r="M30" s="61">
        <v>25</v>
      </c>
      <c r="N30" s="6">
        <f t="shared" si="0"/>
        <v>31.499999999999996</v>
      </c>
    </row>
    <row r="31" spans="1:15">
      <c r="A31" s="22" t="s">
        <v>59</v>
      </c>
      <c r="B31" s="22"/>
      <c r="C31" s="4">
        <v>43528</v>
      </c>
      <c r="D31" s="4"/>
      <c r="E31" s="4">
        <v>43538</v>
      </c>
      <c r="F31" s="5"/>
      <c r="G31" s="49"/>
      <c r="H31" s="5">
        <v>14.92</v>
      </c>
      <c r="I31" s="5">
        <f>77/30*10</f>
        <v>25.666666666666668</v>
      </c>
      <c r="J31" s="5"/>
      <c r="K31" s="5"/>
      <c r="L31" s="6">
        <v>169</v>
      </c>
      <c r="M31" s="61">
        <f>64+11+2</f>
        <v>77</v>
      </c>
      <c r="N31" s="6">
        <f t="shared" si="0"/>
        <v>64.399999999999991</v>
      </c>
    </row>
    <row r="32" spans="1:15">
      <c r="A32" s="22" t="s">
        <v>58</v>
      </c>
      <c r="B32" s="22"/>
      <c r="C32" s="4">
        <v>43534</v>
      </c>
      <c r="D32" s="4"/>
      <c r="E32" s="4">
        <v>43542</v>
      </c>
      <c r="F32" s="5"/>
      <c r="G32" s="49"/>
      <c r="H32" s="5">
        <f>10.86*2</f>
        <v>21.72</v>
      </c>
      <c r="I32" s="5">
        <v>0</v>
      </c>
      <c r="J32" s="5"/>
      <c r="K32" s="5"/>
      <c r="L32" s="6">
        <v>60</v>
      </c>
      <c r="M32" s="61">
        <v>33</v>
      </c>
      <c r="N32" s="6">
        <v>18.899999999999999</v>
      </c>
    </row>
    <row r="33" spans="1:15">
      <c r="A33" s="22" t="s">
        <v>61</v>
      </c>
      <c r="B33" s="22"/>
      <c r="C33" s="4">
        <v>43482</v>
      </c>
      <c r="D33" s="4"/>
      <c r="E33" s="4">
        <v>43542</v>
      </c>
      <c r="F33" s="5"/>
      <c r="G33" s="49"/>
      <c r="H33" s="5">
        <v>11.1</v>
      </c>
      <c r="I33" s="5">
        <f>25*2</f>
        <v>50</v>
      </c>
      <c r="J33" s="5"/>
      <c r="K33" s="5"/>
      <c r="L33" s="6">
        <v>70</v>
      </c>
      <c r="M33" s="61">
        <v>26</v>
      </c>
      <c r="N33" s="6">
        <f t="shared" si="0"/>
        <v>30.799999999999997</v>
      </c>
    </row>
    <row r="34" spans="1:15">
      <c r="A34" s="22" t="s">
        <v>67</v>
      </c>
      <c r="B34" s="22"/>
      <c r="C34" s="4">
        <v>43600</v>
      </c>
      <c r="D34" s="4"/>
      <c r="E34" s="4">
        <v>43629</v>
      </c>
      <c r="F34" s="5"/>
      <c r="G34" s="49"/>
      <c r="H34" s="5">
        <f>10.86*2</f>
        <v>21.72</v>
      </c>
      <c r="I34" s="5">
        <f>22/30*58</f>
        <v>42.533333333333331</v>
      </c>
      <c r="J34" s="5">
        <v>50</v>
      </c>
      <c r="K34" s="5">
        <f>H34+I34+J34</f>
        <v>114.25333333333333</v>
      </c>
      <c r="L34" s="6">
        <v>60</v>
      </c>
      <c r="M34" s="61">
        <v>25</v>
      </c>
      <c r="N34" s="6">
        <v>0</v>
      </c>
    </row>
    <row r="35" spans="1:15">
      <c r="A35" s="22" t="s">
        <v>66</v>
      </c>
      <c r="B35" s="22"/>
      <c r="C35" s="4">
        <v>43600</v>
      </c>
      <c r="D35" s="4"/>
      <c r="E35" s="4">
        <v>43629</v>
      </c>
      <c r="F35" s="5"/>
      <c r="G35" s="49"/>
      <c r="H35" s="5">
        <f>10.86</f>
        <v>10.86</v>
      </c>
      <c r="I35" s="5">
        <f>39/30*58</f>
        <v>75.400000000000006</v>
      </c>
      <c r="J35" s="5"/>
      <c r="K35" s="5">
        <f>H35+I35</f>
        <v>86.26</v>
      </c>
      <c r="L35" s="6">
        <v>110</v>
      </c>
      <c r="M35" s="61">
        <f>25+11+3</f>
        <v>39</v>
      </c>
      <c r="N35" s="6">
        <v>0</v>
      </c>
      <c r="O35" t="s">
        <v>73</v>
      </c>
    </row>
    <row r="36" spans="1:15">
      <c r="A36" s="22" t="s">
        <v>64</v>
      </c>
      <c r="B36" s="22"/>
      <c r="C36" s="4">
        <v>43627</v>
      </c>
      <c r="D36" s="4"/>
      <c r="E36" s="4">
        <v>43629</v>
      </c>
      <c r="F36" s="5"/>
      <c r="G36" s="49"/>
      <c r="H36" s="5">
        <v>10.86</v>
      </c>
      <c r="I36" s="5">
        <f>25/30*2</f>
        <v>1.6666666666666667</v>
      </c>
      <c r="J36" s="5"/>
      <c r="K36" s="5">
        <f>H36+I36</f>
        <v>12.526666666666666</v>
      </c>
      <c r="L36" s="6">
        <v>200</v>
      </c>
      <c r="M36" s="61">
        <v>11</v>
      </c>
      <c r="N36" s="5">
        <f t="shared" ref="N36:N48" si="1">(L36-M36)*0.7</f>
        <v>132.29999999999998</v>
      </c>
    </row>
    <row r="37" spans="1:15">
      <c r="A37" s="22" t="s">
        <v>65</v>
      </c>
      <c r="B37" s="22"/>
      <c r="C37" s="4">
        <v>43622</v>
      </c>
      <c r="D37" s="4"/>
      <c r="E37" s="4">
        <v>43650</v>
      </c>
      <c r="F37" s="5"/>
      <c r="G37" s="49"/>
      <c r="H37" s="5">
        <v>10.86</v>
      </c>
      <c r="I37" s="5"/>
      <c r="J37" s="5"/>
      <c r="K37" s="5"/>
      <c r="L37" s="6">
        <v>120</v>
      </c>
      <c r="M37" s="61">
        <v>60</v>
      </c>
      <c r="N37" s="6">
        <f t="shared" si="1"/>
        <v>42</v>
      </c>
    </row>
    <row r="38" spans="1:15">
      <c r="A38" s="22" t="s">
        <v>71</v>
      </c>
      <c r="B38" s="22"/>
      <c r="C38" s="4">
        <v>43635</v>
      </c>
      <c r="D38" s="4"/>
      <c r="E38" s="4">
        <v>43662</v>
      </c>
      <c r="F38" s="5"/>
      <c r="G38" s="49"/>
      <c r="H38" s="5">
        <f>10.86*2</f>
        <v>21.72</v>
      </c>
      <c r="I38" s="5"/>
      <c r="J38" s="5"/>
      <c r="K38" s="5"/>
      <c r="L38" s="6">
        <v>70</v>
      </c>
      <c r="M38" s="61">
        <v>26</v>
      </c>
      <c r="N38" s="6">
        <f t="shared" si="1"/>
        <v>30.799999999999997</v>
      </c>
      <c r="O38" t="s">
        <v>72</v>
      </c>
    </row>
    <row r="39" spans="1:15">
      <c r="A39" s="2" t="s">
        <v>75</v>
      </c>
      <c r="B39" s="2"/>
      <c r="C39" s="4">
        <v>43656</v>
      </c>
      <c r="D39" s="4"/>
      <c r="E39" s="4">
        <v>43711</v>
      </c>
      <c r="F39" s="5"/>
      <c r="G39" s="49"/>
      <c r="H39" s="5">
        <v>10.86</v>
      </c>
      <c r="I39" s="5">
        <f>36/30*48</f>
        <v>57.599999999999994</v>
      </c>
      <c r="J39" s="5"/>
      <c r="K39" s="5"/>
      <c r="L39" s="6">
        <v>105</v>
      </c>
      <c r="M39" s="61">
        <v>36</v>
      </c>
      <c r="N39" s="6">
        <f t="shared" si="1"/>
        <v>48.3</v>
      </c>
    </row>
    <row r="40" spans="1:15">
      <c r="A40" s="2" t="s">
        <v>76</v>
      </c>
      <c r="B40" s="2"/>
      <c r="C40" s="4">
        <v>43677</v>
      </c>
      <c r="D40" s="4"/>
      <c r="E40" s="4">
        <v>43713</v>
      </c>
      <c r="F40" s="5"/>
      <c r="G40" s="49"/>
      <c r="H40" s="5">
        <v>24.06</v>
      </c>
      <c r="I40" s="5">
        <f>80/30*35</f>
        <v>93.333333333333329</v>
      </c>
      <c r="J40" s="5">
        <v>40</v>
      </c>
      <c r="K40" s="5"/>
      <c r="L40" s="6">
        <v>149</v>
      </c>
      <c r="M40" s="61">
        <v>80</v>
      </c>
      <c r="N40" s="6">
        <f t="shared" si="1"/>
        <v>48.3</v>
      </c>
      <c r="O40" t="s">
        <v>79</v>
      </c>
    </row>
    <row r="41" spans="1:15">
      <c r="A41" s="2" t="s">
        <v>81</v>
      </c>
      <c r="B41" s="2"/>
      <c r="C41" s="4">
        <v>43788</v>
      </c>
      <c r="D41" s="4"/>
      <c r="E41" s="4">
        <v>43865</v>
      </c>
      <c r="F41" s="5"/>
      <c r="G41" s="49"/>
      <c r="H41" s="5">
        <v>9.14</v>
      </c>
      <c r="I41" s="5">
        <f>25/30*45</f>
        <v>37.5</v>
      </c>
      <c r="J41" s="5"/>
      <c r="K41" s="5"/>
      <c r="L41" s="6">
        <v>90</v>
      </c>
      <c r="M41" s="61">
        <v>25</v>
      </c>
      <c r="N41" s="6">
        <f t="shared" si="1"/>
        <v>45.5</v>
      </c>
    </row>
    <row r="42" spans="1:15">
      <c r="A42" s="22" t="s">
        <v>87</v>
      </c>
      <c r="B42" s="22"/>
      <c r="C42" s="35">
        <v>43878</v>
      </c>
      <c r="D42" s="35"/>
      <c r="E42" s="35">
        <v>43892</v>
      </c>
      <c r="F42" s="5"/>
      <c r="G42" s="49"/>
      <c r="H42" s="5">
        <v>12.19</v>
      </c>
      <c r="I42" s="5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5">
      <c r="A43" s="22" t="s">
        <v>89</v>
      </c>
      <c r="B43" s="22"/>
      <c r="C43" s="35">
        <v>43908</v>
      </c>
      <c r="D43" s="35"/>
      <c r="E43" s="35">
        <v>43893</v>
      </c>
      <c r="F43" s="5"/>
      <c r="G43" s="49"/>
      <c r="H43" s="5">
        <v>9.6</v>
      </c>
      <c r="I43" s="5"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5">
      <c r="A44" s="22" t="s">
        <v>85</v>
      </c>
      <c r="B44" s="22"/>
      <c r="C44" s="35">
        <v>43881</v>
      </c>
      <c r="D44" s="35"/>
      <c r="E44" s="35">
        <v>43895</v>
      </c>
      <c r="F44" s="5"/>
      <c r="G44" s="49"/>
      <c r="H44" s="5">
        <v>9.14</v>
      </c>
      <c r="I44" s="5">
        <f>11/30*15</f>
        <v>5.5</v>
      </c>
      <c r="J44" s="5"/>
      <c r="K44" s="5"/>
      <c r="L44" s="6">
        <v>25</v>
      </c>
      <c r="M44" s="61">
        <v>11</v>
      </c>
      <c r="N44" s="6">
        <f t="shared" si="1"/>
        <v>9.7999999999999989</v>
      </c>
    </row>
    <row r="45" spans="1:15">
      <c r="A45" s="39" t="s">
        <v>82</v>
      </c>
      <c r="B45" s="28"/>
      <c r="C45" s="36">
        <v>40235</v>
      </c>
      <c r="D45" s="36"/>
      <c r="E45" s="36">
        <v>43901</v>
      </c>
      <c r="F45" s="5"/>
      <c r="G45" s="34"/>
      <c r="H45" s="37">
        <v>9.6</v>
      </c>
      <c r="I45" s="5">
        <f>11/2</f>
        <v>5.5</v>
      </c>
      <c r="J45" s="5"/>
      <c r="K45" s="5"/>
      <c r="L45" s="17">
        <v>25</v>
      </c>
      <c r="M45" s="63">
        <v>11</v>
      </c>
      <c r="N45" s="26">
        <f t="shared" si="1"/>
        <v>9.7999999999999989</v>
      </c>
    </row>
    <row r="46" spans="1:15">
      <c r="A46" s="22" t="s">
        <v>84</v>
      </c>
      <c r="B46" s="22"/>
      <c r="C46" s="35">
        <v>43889</v>
      </c>
      <c r="D46" s="35"/>
      <c r="E46" s="35">
        <v>43903</v>
      </c>
      <c r="F46" s="5"/>
      <c r="G46" s="49"/>
      <c r="H46" s="5">
        <v>9.14</v>
      </c>
      <c r="I46" s="5">
        <f>11/30*15</f>
        <v>5.5</v>
      </c>
      <c r="J46" s="5"/>
      <c r="K46" s="5"/>
      <c r="L46" s="6">
        <v>25</v>
      </c>
      <c r="M46" s="61">
        <v>11</v>
      </c>
      <c r="N46" s="6">
        <f t="shared" si="1"/>
        <v>9.7999999999999989</v>
      </c>
    </row>
    <row r="47" spans="1:15">
      <c r="A47" s="22" t="s">
        <v>80</v>
      </c>
      <c r="B47" s="22"/>
      <c r="C47" s="35">
        <v>43873</v>
      </c>
      <c r="D47" s="35"/>
      <c r="E47" s="35">
        <v>43910</v>
      </c>
      <c r="F47" s="5"/>
      <c r="G47" s="49"/>
      <c r="H47" s="5">
        <v>21.84</v>
      </c>
      <c r="I47" s="5">
        <f>56/30*38</f>
        <v>70.933333333333337</v>
      </c>
      <c r="J47" s="5"/>
      <c r="K47" s="5"/>
      <c r="L47" s="6">
        <v>120</v>
      </c>
      <c r="M47" s="61">
        <v>56</v>
      </c>
      <c r="N47" s="6">
        <f t="shared" si="1"/>
        <v>44.8</v>
      </c>
    </row>
    <row r="48" spans="1:15">
      <c r="A48" s="22" t="s">
        <v>88</v>
      </c>
      <c r="B48" s="22"/>
      <c r="C48" s="35">
        <v>43855</v>
      </c>
      <c r="D48" s="35"/>
      <c r="E48" s="35">
        <v>43941</v>
      </c>
      <c r="F48" s="5"/>
      <c r="G48" s="49"/>
      <c r="H48" s="5">
        <v>13.93</v>
      </c>
      <c r="I48" s="5">
        <f>56/30*85</f>
        <v>158.66666666666666</v>
      </c>
      <c r="J48" s="5"/>
      <c r="K48" s="5"/>
      <c r="L48" s="6">
        <v>110</v>
      </c>
      <c r="M48" s="61">
        <v>56</v>
      </c>
      <c r="N48" s="6">
        <f t="shared" si="1"/>
        <v>37.799999999999997</v>
      </c>
    </row>
    <row r="49" spans="1:16">
      <c r="A49" s="22" t="s">
        <v>90</v>
      </c>
      <c r="B49" s="22"/>
      <c r="C49" s="35" t="s">
        <v>96</v>
      </c>
      <c r="D49" s="35"/>
      <c r="E49" s="35">
        <v>44015</v>
      </c>
      <c r="F49" s="5" t="s">
        <v>160</v>
      </c>
      <c r="G49" s="49">
        <v>12.5</v>
      </c>
      <c r="H49" s="5">
        <v>11.29</v>
      </c>
      <c r="I49" s="5">
        <f>100</f>
        <v>100</v>
      </c>
      <c r="J49" s="5"/>
      <c r="K49" s="5"/>
      <c r="L49" s="6">
        <v>105</v>
      </c>
      <c r="M49" s="61">
        <f>25+11+22</f>
        <v>58</v>
      </c>
      <c r="N49" s="6">
        <f>12.5+(92.5-M49)*0.7</f>
        <v>36.65</v>
      </c>
      <c r="P49" s="41"/>
    </row>
    <row r="50" spans="1:16">
      <c r="A50" s="22" t="s">
        <v>97</v>
      </c>
      <c r="B50" s="22"/>
      <c r="C50" s="35">
        <v>43990</v>
      </c>
      <c r="D50" s="35"/>
      <c r="E50" s="35">
        <v>44036</v>
      </c>
      <c r="F50" s="5"/>
      <c r="G50" s="49"/>
      <c r="H50" s="5">
        <v>8.75</v>
      </c>
      <c r="I50" s="5">
        <f>56/30*46</f>
        <v>85.866666666666674</v>
      </c>
      <c r="J50" s="5"/>
      <c r="K50" s="5"/>
      <c r="L50" s="6">
        <v>110</v>
      </c>
      <c r="M50" s="61">
        <f>45+11</f>
        <v>56</v>
      </c>
      <c r="N50" s="6">
        <f>(L50-M50)*0.7</f>
        <v>37.799999999999997</v>
      </c>
    </row>
    <row r="51" spans="1:16">
      <c r="A51" s="22" t="s">
        <v>95</v>
      </c>
      <c r="B51" s="22"/>
      <c r="C51" s="35">
        <v>44028</v>
      </c>
      <c r="D51" s="35"/>
      <c r="E51" s="35">
        <v>44040</v>
      </c>
      <c r="F51" s="5"/>
      <c r="G51" s="49"/>
      <c r="H51" s="5">
        <v>8.75</v>
      </c>
      <c r="I51" s="5">
        <f>41/30*12</f>
        <v>16.399999999999999</v>
      </c>
      <c r="J51" s="5"/>
      <c r="K51" s="5"/>
      <c r="L51" s="6">
        <v>60</v>
      </c>
      <c r="M51" s="61">
        <v>41</v>
      </c>
      <c r="N51" s="6">
        <f>(L51-M51)*0.7</f>
        <v>13.299999999999999</v>
      </c>
    </row>
    <row r="52" spans="1:16">
      <c r="A52" s="22" t="s">
        <v>94</v>
      </c>
      <c r="B52" s="22"/>
      <c r="C52" s="35">
        <v>44011</v>
      </c>
      <c r="D52" s="35"/>
      <c r="E52" s="35">
        <v>44084</v>
      </c>
      <c r="F52" s="5"/>
      <c r="G52" s="49"/>
      <c r="H52" s="5">
        <v>11.29</v>
      </c>
      <c r="I52" s="5">
        <f>25/30*71</f>
        <v>59.166666666666671</v>
      </c>
      <c r="J52" s="5"/>
      <c r="K52" s="5"/>
      <c r="L52" s="6">
        <v>40</v>
      </c>
      <c r="M52" s="61">
        <v>25</v>
      </c>
      <c r="N52" s="6">
        <f>(L52-M52)*0.7</f>
        <v>10.5</v>
      </c>
    </row>
    <row r="53" spans="1:16">
      <c r="A53" s="2" t="s">
        <v>99</v>
      </c>
      <c r="B53" s="2"/>
      <c r="C53" s="35">
        <v>44084</v>
      </c>
      <c r="D53" s="35"/>
      <c r="E53" s="35">
        <v>44105</v>
      </c>
      <c r="F53" s="5" t="s">
        <v>160</v>
      </c>
      <c r="G53" s="49">
        <v>5</v>
      </c>
      <c r="H53" s="5">
        <v>12.24</v>
      </c>
      <c r="I53" s="5">
        <f>25/30*20</f>
        <v>16.666666666666668</v>
      </c>
      <c r="J53" s="5"/>
      <c r="K53" s="5"/>
      <c r="L53" s="43">
        <v>40</v>
      </c>
      <c r="M53" s="61">
        <v>22</v>
      </c>
      <c r="N53" s="6">
        <f>5+13*0.7</f>
        <v>14.1</v>
      </c>
      <c r="P53" s="41"/>
    </row>
    <row r="54" spans="1:16">
      <c r="A54" s="2" t="s">
        <v>102</v>
      </c>
      <c r="B54" s="2"/>
      <c r="C54" s="4" t="s">
        <v>103</v>
      </c>
      <c r="D54" s="4"/>
      <c r="E54" s="4">
        <v>44110</v>
      </c>
      <c r="F54" s="5" t="s">
        <v>160</v>
      </c>
      <c r="G54" s="49">
        <v>10</v>
      </c>
      <c r="H54" s="5">
        <v>36.65</v>
      </c>
      <c r="I54" s="5">
        <f>115/30*26</f>
        <v>99.666666666666671</v>
      </c>
      <c r="J54" s="5"/>
      <c r="K54" s="5"/>
      <c r="L54" s="6">
        <v>180</v>
      </c>
      <c r="M54" s="61">
        <v>115</v>
      </c>
      <c r="N54" s="6">
        <f>10+55*0.7</f>
        <v>48.5</v>
      </c>
      <c r="P54" s="41"/>
    </row>
    <row r="55" spans="1:16">
      <c r="A55" s="2" t="s">
        <v>94</v>
      </c>
      <c r="B55" s="2"/>
      <c r="C55" s="35">
        <v>44124</v>
      </c>
      <c r="D55" s="35"/>
      <c r="E55" s="35">
        <v>44124</v>
      </c>
      <c r="F55" s="5"/>
      <c r="G55" s="49"/>
      <c r="H55" s="5">
        <v>7.25</v>
      </c>
      <c r="I55" s="5">
        <v>0</v>
      </c>
      <c r="J55" s="5"/>
      <c r="K55" s="5"/>
      <c r="L55" s="6">
        <v>25</v>
      </c>
      <c r="M55" s="61">
        <v>11</v>
      </c>
      <c r="N55" s="6">
        <f>(L55-M55)*0.7</f>
        <v>9.7999999999999989</v>
      </c>
    </row>
    <row r="56" spans="1:16">
      <c r="A56" s="2" t="s">
        <v>100</v>
      </c>
      <c r="B56" s="2"/>
      <c r="C56" s="4">
        <v>44018</v>
      </c>
      <c r="D56" s="4"/>
      <c r="E56" s="4">
        <v>44124</v>
      </c>
      <c r="F56" s="40"/>
      <c r="G56" s="2"/>
      <c r="H56" s="5">
        <v>9.5</v>
      </c>
      <c r="I56" s="5">
        <f>25/30*104</f>
        <v>86.666666666666671</v>
      </c>
      <c r="J56" s="5"/>
      <c r="K56" s="5"/>
      <c r="L56" s="6">
        <v>70</v>
      </c>
      <c r="M56" s="61">
        <v>25</v>
      </c>
      <c r="N56" s="6">
        <f>(L56-M56)*0.7</f>
        <v>31.499999999999996</v>
      </c>
    </row>
    <row r="57" spans="1:16">
      <c r="A57" s="2" t="s">
        <v>101</v>
      </c>
      <c r="B57" s="2"/>
      <c r="C57" s="4">
        <v>44070</v>
      </c>
      <c r="D57" s="4"/>
      <c r="E57" s="4">
        <v>44131</v>
      </c>
      <c r="F57" s="40"/>
      <c r="G57" s="2"/>
      <c r="H57" s="5">
        <v>13.93</v>
      </c>
      <c r="I57" s="5">
        <f>71/30*60</f>
        <v>142</v>
      </c>
      <c r="J57" s="5"/>
      <c r="K57" s="5"/>
      <c r="L57" s="6">
        <v>120</v>
      </c>
      <c r="M57" s="61">
        <f>60+11</f>
        <v>71</v>
      </c>
      <c r="N57" s="6">
        <f>(L57-M57)*0.7</f>
        <v>34.299999999999997</v>
      </c>
    </row>
    <row r="58" spans="1:16">
      <c r="A58" s="22" t="s">
        <v>104</v>
      </c>
      <c r="B58" s="22"/>
      <c r="C58" s="4">
        <v>44159</v>
      </c>
      <c r="D58" s="4"/>
      <c r="E58" s="4">
        <v>44187</v>
      </c>
      <c r="F58" s="40"/>
      <c r="G58" s="2"/>
      <c r="H58" s="5">
        <v>13.93</v>
      </c>
      <c r="I58" s="5">
        <f>36/30*28</f>
        <v>33.6</v>
      </c>
      <c r="J58" s="5"/>
      <c r="K58" s="5"/>
      <c r="L58" s="6">
        <v>110</v>
      </c>
      <c r="M58" s="61">
        <f>25+11</f>
        <v>36</v>
      </c>
      <c r="N58" s="6">
        <f>(L58-M58)*0.7</f>
        <v>51.8</v>
      </c>
    </row>
    <row r="59" spans="1:16">
      <c r="A59" s="22" t="s">
        <v>120</v>
      </c>
      <c r="B59" s="22"/>
      <c r="C59" s="4">
        <v>44169</v>
      </c>
      <c r="D59" s="4"/>
      <c r="E59" s="4">
        <v>44208</v>
      </c>
      <c r="F59" s="5" t="s">
        <v>160</v>
      </c>
      <c r="G59" s="49">
        <v>10</v>
      </c>
      <c r="H59" s="5"/>
      <c r="I59" s="5">
        <f>41/30*38</f>
        <v>51.933333333333337</v>
      </c>
      <c r="J59" s="5"/>
      <c r="K59" s="5"/>
      <c r="L59" s="6">
        <v>70</v>
      </c>
      <c r="M59" s="61">
        <v>45</v>
      </c>
      <c r="N59" s="5">
        <f>10+(60-45)*0.7</f>
        <v>20.5</v>
      </c>
      <c r="O59" s="1" t="s">
        <v>145</v>
      </c>
    </row>
    <row r="60" spans="1:16">
      <c r="A60" s="22" t="s">
        <v>108</v>
      </c>
      <c r="B60" s="22"/>
      <c r="C60" s="4">
        <v>44185</v>
      </c>
      <c r="D60" s="4"/>
      <c r="E60" s="4">
        <v>44242</v>
      </c>
      <c r="F60" s="5" t="s">
        <v>160</v>
      </c>
      <c r="G60" s="49">
        <v>20</v>
      </c>
      <c r="H60" s="5">
        <v>26.48</v>
      </c>
      <c r="I60" s="5">
        <f>50/30*55</f>
        <v>91.666666666666671</v>
      </c>
      <c r="J60" s="5">
        <v>160</v>
      </c>
      <c r="K60" s="5"/>
      <c r="L60" s="6">
        <v>190</v>
      </c>
      <c r="M60" s="61">
        <v>61</v>
      </c>
      <c r="N60" s="5">
        <f>(20+(170-61)*0.7)</f>
        <v>96.3</v>
      </c>
      <c r="O60" s="1" t="s">
        <v>145</v>
      </c>
    </row>
    <row r="61" spans="1:16">
      <c r="A61" s="22" t="s">
        <v>109</v>
      </c>
      <c r="B61" s="22"/>
      <c r="C61" s="4">
        <v>44209</v>
      </c>
      <c r="D61" s="4"/>
      <c r="E61" s="4">
        <v>44250</v>
      </c>
      <c r="F61" s="5" t="s">
        <v>160</v>
      </c>
      <c r="G61" s="49">
        <v>22.5</v>
      </c>
      <c r="H61" s="5">
        <v>22.83</v>
      </c>
      <c r="I61" s="5">
        <f>100/30*40</f>
        <v>133.33333333333334</v>
      </c>
      <c r="J61" s="5">
        <v>125</v>
      </c>
      <c r="K61" s="5"/>
      <c r="L61" s="6">
        <v>210</v>
      </c>
      <c r="M61" s="61">
        <v>100</v>
      </c>
      <c r="N61" s="6">
        <f>(22.5+87.5*0.7)</f>
        <v>83.75</v>
      </c>
    </row>
    <row r="62" spans="1:16">
      <c r="A62" s="2" t="s">
        <v>113</v>
      </c>
      <c r="B62" s="2"/>
      <c r="C62" s="4">
        <v>44245</v>
      </c>
      <c r="D62" s="4"/>
      <c r="E62" s="4">
        <v>44271</v>
      </c>
      <c r="F62" s="5" t="s">
        <v>160</v>
      </c>
      <c r="G62" s="49">
        <v>15</v>
      </c>
      <c r="H62" s="5">
        <v>26.76</v>
      </c>
      <c r="I62" s="5">
        <f>67/30*28</f>
        <v>62.533333333333331</v>
      </c>
      <c r="J62" s="5"/>
      <c r="K62" s="5"/>
      <c r="L62" s="6">
        <v>140</v>
      </c>
      <c r="M62" s="61">
        <v>67</v>
      </c>
      <c r="N62" s="6">
        <f>(15+0.7*58)</f>
        <v>55.599999999999994</v>
      </c>
    </row>
    <row r="63" spans="1:16">
      <c r="A63" s="2" t="s">
        <v>114</v>
      </c>
      <c r="B63" s="2"/>
      <c r="C63" s="4">
        <v>44222</v>
      </c>
      <c r="D63" s="4"/>
      <c r="E63" s="4">
        <v>44279</v>
      </c>
      <c r="F63" s="5" t="s">
        <v>160</v>
      </c>
      <c r="G63" s="49">
        <v>12.5</v>
      </c>
      <c r="H63" s="5">
        <v>13.4</v>
      </c>
      <c r="I63" s="5">
        <f>56/30*58</f>
        <v>108.26666666666667</v>
      </c>
      <c r="J63" s="5">
        <v>100</v>
      </c>
      <c r="K63" s="5"/>
      <c r="L63" s="6">
        <v>140</v>
      </c>
      <c r="M63" s="61">
        <v>56</v>
      </c>
      <c r="N63" s="5">
        <f>(12.5+71.5*0.7)</f>
        <v>62.55</v>
      </c>
      <c r="O63" s="1" t="s">
        <v>145</v>
      </c>
    </row>
    <row r="64" spans="1:16">
      <c r="A64" s="2" t="s">
        <v>112</v>
      </c>
      <c r="B64" s="2"/>
      <c r="C64" s="4">
        <v>44270</v>
      </c>
      <c r="D64" s="4"/>
      <c r="E64" s="4">
        <v>44286</v>
      </c>
      <c r="F64" s="5" t="s">
        <v>160</v>
      </c>
      <c r="G64" s="49">
        <v>17.5</v>
      </c>
      <c r="H64" s="5">
        <v>31.96</v>
      </c>
      <c r="I64" s="5">
        <f>55/30*16</f>
        <v>29.333333333333332</v>
      </c>
      <c r="J64" s="5">
        <v>75</v>
      </c>
      <c r="K64" s="5"/>
      <c r="L64" s="6">
        <v>100</v>
      </c>
      <c r="M64" s="61">
        <v>55</v>
      </c>
      <c r="N64" s="6">
        <f>(17.5+27.5*0.7)</f>
        <v>36.75</v>
      </c>
    </row>
    <row r="65" spans="1:16">
      <c r="A65" s="2" t="s">
        <v>119</v>
      </c>
      <c r="B65" s="2"/>
      <c r="C65" s="4">
        <v>44281</v>
      </c>
      <c r="D65" s="4"/>
      <c r="E65" s="4">
        <v>44316</v>
      </c>
      <c r="F65" s="40"/>
      <c r="G65" s="2"/>
      <c r="H65" s="5">
        <v>14.26</v>
      </c>
      <c r="I65" s="5">
        <f>45/30*34</f>
        <v>51</v>
      </c>
      <c r="J65" s="5"/>
      <c r="K65" s="5"/>
      <c r="L65" s="6">
        <v>110</v>
      </c>
      <c r="M65" s="61">
        <v>45</v>
      </c>
      <c r="N65" s="6">
        <f>(65*0.7)</f>
        <v>45.5</v>
      </c>
    </row>
    <row r="66" spans="1:16">
      <c r="A66" s="22" t="s">
        <v>121</v>
      </c>
      <c r="B66" s="22"/>
      <c r="C66" s="4">
        <v>44316</v>
      </c>
      <c r="D66" s="4"/>
      <c r="E66" s="4">
        <v>44354</v>
      </c>
      <c r="F66" s="40"/>
      <c r="G66" s="2"/>
      <c r="H66" s="5">
        <v>15.15</v>
      </c>
      <c r="I66" s="5">
        <f>36/30*37</f>
        <v>44.4</v>
      </c>
      <c r="J66" s="5"/>
      <c r="K66" s="5"/>
      <c r="L66" s="6">
        <v>110</v>
      </c>
      <c r="M66" s="61">
        <v>36</v>
      </c>
      <c r="N66" s="5">
        <f>(L66-M66)*0.7</f>
        <v>51.8</v>
      </c>
      <c r="O66" s="1" t="s">
        <v>145</v>
      </c>
    </row>
    <row r="67" spans="1:16">
      <c r="A67" s="22" t="s">
        <v>126</v>
      </c>
      <c r="B67" s="22"/>
      <c r="C67" s="4">
        <v>44336</v>
      </c>
      <c r="D67" s="4"/>
      <c r="E67" s="4">
        <v>44370</v>
      </c>
      <c r="F67" s="5" t="s">
        <v>161</v>
      </c>
      <c r="G67" s="49">
        <v>17.5</v>
      </c>
      <c r="H67" s="5">
        <v>35.78</v>
      </c>
      <c r="I67" s="5">
        <f>58/30*33</f>
        <v>63.8</v>
      </c>
      <c r="J67" s="5">
        <v>50</v>
      </c>
      <c r="K67" s="5"/>
      <c r="L67" s="6">
        <v>150</v>
      </c>
      <c r="M67" s="61">
        <v>58</v>
      </c>
      <c r="N67" s="6">
        <f>(17.5+74.5*0.7)</f>
        <v>69.650000000000006</v>
      </c>
    </row>
    <row r="68" spans="1:16">
      <c r="A68" s="44" t="s">
        <v>125</v>
      </c>
      <c r="B68" s="44"/>
      <c r="C68" s="4">
        <v>44342</v>
      </c>
      <c r="D68" s="4"/>
      <c r="E68" s="4">
        <v>44386</v>
      </c>
      <c r="F68" s="5" t="s">
        <v>160</v>
      </c>
      <c r="G68" s="49">
        <v>12.5</v>
      </c>
      <c r="H68" s="5">
        <v>15.46</v>
      </c>
      <c r="I68" s="5">
        <f>36/30*43</f>
        <v>51.6</v>
      </c>
      <c r="J68" s="5">
        <f>50+45</f>
        <v>95</v>
      </c>
      <c r="K68" s="5"/>
      <c r="L68" s="6">
        <v>80</v>
      </c>
      <c r="M68" s="61">
        <v>33</v>
      </c>
      <c r="N68" s="6">
        <f>12.5+(L68-M68-12.5)*0.7</f>
        <v>36.65</v>
      </c>
    </row>
    <row r="69" spans="1:16">
      <c r="A69" s="44" t="s">
        <v>129</v>
      </c>
      <c r="B69" s="44"/>
      <c r="C69" s="4">
        <v>44348</v>
      </c>
      <c r="D69" s="4"/>
      <c r="E69" s="4">
        <v>44389</v>
      </c>
      <c r="F69" s="5" t="s">
        <v>160</v>
      </c>
      <c r="G69" s="49">
        <v>12.5</v>
      </c>
      <c r="H69" s="5">
        <v>26.22</v>
      </c>
      <c r="I69" s="5">
        <f>71/30*42</f>
        <v>99.4</v>
      </c>
      <c r="J69" s="5">
        <f>50+45</f>
        <v>95</v>
      </c>
      <c r="K69" s="5"/>
      <c r="L69" s="6">
        <v>140</v>
      </c>
      <c r="M69" s="61">
        <v>71</v>
      </c>
      <c r="N69" s="6">
        <f>(12.5+(127.5-71)*0.7)</f>
        <v>52.05</v>
      </c>
    </row>
    <row r="70" spans="1:16">
      <c r="A70" s="44" t="s">
        <v>124</v>
      </c>
      <c r="B70" s="44"/>
      <c r="C70" s="4">
        <v>44348</v>
      </c>
      <c r="D70" s="4"/>
      <c r="E70" s="4">
        <v>44389</v>
      </c>
      <c r="F70" s="40"/>
      <c r="G70" s="2"/>
      <c r="H70" s="5">
        <v>11.62</v>
      </c>
      <c r="I70" s="5">
        <f>26/30*42</f>
        <v>36.4</v>
      </c>
      <c r="J70" s="5">
        <v>65</v>
      </c>
      <c r="K70" s="5"/>
      <c r="L70" s="6">
        <v>70</v>
      </c>
      <c r="M70" s="61">
        <v>26</v>
      </c>
      <c r="N70" s="6">
        <f>(70-26)*0.7</f>
        <v>30.799999999999997</v>
      </c>
    </row>
    <row r="71" spans="1:16">
      <c r="A71" s="44" t="s">
        <v>132</v>
      </c>
      <c r="B71" s="44"/>
      <c r="C71" s="4">
        <v>44407</v>
      </c>
      <c r="D71" s="4"/>
      <c r="E71" s="4">
        <v>44461</v>
      </c>
      <c r="F71" s="40"/>
      <c r="G71" s="2"/>
      <c r="H71" s="5">
        <v>9.8800000000000008</v>
      </c>
      <c r="I71" s="5">
        <f>25/30*52</f>
        <v>43.333333333333336</v>
      </c>
      <c r="J71" s="5"/>
      <c r="K71" s="5"/>
      <c r="L71" s="6">
        <v>40</v>
      </c>
      <c r="M71" s="61">
        <v>25</v>
      </c>
      <c r="N71" s="6">
        <f>(L71-M71)*0.7</f>
        <v>10.5</v>
      </c>
    </row>
    <row r="72" spans="1:16">
      <c r="A72" s="44" t="s">
        <v>133</v>
      </c>
      <c r="B72" s="44"/>
      <c r="C72" s="4">
        <v>44432</v>
      </c>
      <c r="D72" s="4"/>
      <c r="E72" s="4">
        <v>44467</v>
      </c>
      <c r="F72" s="40"/>
      <c r="G72" s="2"/>
      <c r="H72" s="5">
        <v>9.8800000000000008</v>
      </c>
      <c r="I72" s="5">
        <f>25/30*34</f>
        <v>28.333333333333336</v>
      </c>
      <c r="J72" s="5"/>
      <c r="K72" s="5"/>
      <c r="L72" s="6">
        <v>40</v>
      </c>
      <c r="M72" s="61">
        <v>25</v>
      </c>
      <c r="N72" s="6">
        <f>(L72-M72)*0.7</f>
        <v>10.5</v>
      </c>
    </row>
    <row r="73" spans="1:16">
      <c r="A73" s="52" t="s">
        <v>141</v>
      </c>
      <c r="B73" s="52"/>
      <c r="C73" s="57">
        <v>44459</v>
      </c>
      <c r="D73" s="57"/>
      <c r="E73" s="57">
        <v>44481</v>
      </c>
      <c r="F73" s="10" t="s">
        <v>161</v>
      </c>
      <c r="G73" s="12">
        <v>10</v>
      </c>
      <c r="H73" s="25">
        <v>15.15</v>
      </c>
      <c r="I73" s="25">
        <f>46/30*22</f>
        <v>33.733333333333334</v>
      </c>
      <c r="J73" s="25">
        <v>80</v>
      </c>
      <c r="K73" s="25"/>
      <c r="L73" s="27">
        <v>120</v>
      </c>
      <c r="M73" s="64">
        <v>46</v>
      </c>
      <c r="N73" s="27">
        <f>10+(120-56)*0.7</f>
        <v>54.8</v>
      </c>
    </row>
    <row r="74" spans="1:16">
      <c r="A74" s="52" t="s">
        <v>140</v>
      </c>
      <c r="B74" s="52"/>
      <c r="C74" s="57">
        <v>44449</v>
      </c>
      <c r="D74" s="57"/>
      <c r="E74" s="57">
        <v>44482</v>
      </c>
      <c r="F74" s="25" t="s">
        <v>160</v>
      </c>
      <c r="G74" s="58">
        <v>10</v>
      </c>
      <c r="H74" s="25">
        <v>13.4</v>
      </c>
      <c r="I74" s="25">
        <f>60/30*33</f>
        <v>66</v>
      </c>
      <c r="J74" s="25">
        <v>80</v>
      </c>
      <c r="K74" s="25"/>
      <c r="L74" s="27">
        <v>120</v>
      </c>
      <c r="M74" s="64">
        <v>61</v>
      </c>
      <c r="N74" s="27">
        <f>(10+49*0.7)</f>
        <v>44.3</v>
      </c>
    </row>
    <row r="75" spans="1:16">
      <c r="A75" s="44" t="s">
        <v>137</v>
      </c>
      <c r="B75" s="44"/>
      <c r="C75" s="35">
        <v>44474</v>
      </c>
      <c r="D75" s="35"/>
      <c r="E75" s="35">
        <v>44487</v>
      </c>
      <c r="F75" s="10" t="s">
        <v>161</v>
      </c>
      <c r="G75" s="12">
        <v>12.5</v>
      </c>
      <c r="H75" s="5">
        <v>15.15</v>
      </c>
      <c r="I75" s="5">
        <f>71/30*13</f>
        <v>30.766666666666666</v>
      </c>
      <c r="J75" s="5">
        <v>95</v>
      </c>
      <c r="K75" s="5"/>
      <c r="L75" s="6">
        <v>140</v>
      </c>
      <c r="M75" s="61">
        <v>71</v>
      </c>
      <c r="N75" s="6">
        <f>12.5+(56.5)*0.7</f>
        <v>52.05</v>
      </c>
    </row>
    <row r="76" spans="1:16">
      <c r="A76" s="44" t="s">
        <v>143</v>
      </c>
      <c r="B76" s="44"/>
      <c r="C76" s="35">
        <v>43717</v>
      </c>
      <c r="D76" s="35"/>
      <c r="E76" s="35">
        <v>44505</v>
      </c>
      <c r="F76" s="40"/>
      <c r="G76" s="49"/>
      <c r="H76" s="5">
        <v>13.4</v>
      </c>
      <c r="I76" s="5">
        <f>36*25+36/30*26</f>
        <v>931.2</v>
      </c>
      <c r="J76" s="5"/>
      <c r="K76" s="5"/>
      <c r="L76" s="6">
        <v>100</v>
      </c>
      <c r="M76" s="61">
        <v>36</v>
      </c>
      <c r="N76" s="6">
        <f>(100-36)*0.7</f>
        <v>44.8</v>
      </c>
    </row>
    <row r="77" spans="1:16">
      <c r="A77" s="44" t="s">
        <v>139</v>
      </c>
      <c r="B77" s="44"/>
      <c r="C77" s="35">
        <v>44492</v>
      </c>
      <c r="D77" s="35"/>
      <c r="E77" s="35">
        <v>44539</v>
      </c>
      <c r="F77" s="40"/>
      <c r="G77" s="49"/>
      <c r="H77" s="5">
        <v>16.350000000000001</v>
      </c>
      <c r="I77" s="5">
        <f>71/30*46</f>
        <v>108.86666666666667</v>
      </c>
      <c r="J77" s="5">
        <v>95</v>
      </c>
      <c r="K77" s="5"/>
      <c r="L77" s="6">
        <v>140</v>
      </c>
      <c r="M77" s="61">
        <v>71</v>
      </c>
      <c r="N77" s="12">
        <f>(140-71)*0.7</f>
        <v>48.3</v>
      </c>
      <c r="O77" s="72" t="s">
        <v>329</v>
      </c>
      <c r="P77" s="72">
        <v>33.81</v>
      </c>
    </row>
    <row r="78" spans="1:16">
      <c r="A78" s="44" t="s">
        <v>144</v>
      </c>
      <c r="B78" s="44"/>
      <c r="C78" s="35">
        <v>44526</v>
      </c>
      <c r="D78" s="35"/>
      <c r="E78" s="35">
        <v>44550</v>
      </c>
      <c r="F78" s="5" t="s">
        <v>160</v>
      </c>
      <c r="G78" s="49">
        <v>12.5</v>
      </c>
      <c r="H78" s="5">
        <v>13.4</v>
      </c>
      <c r="I78" s="5">
        <f>83/30*24</f>
        <v>66.400000000000006</v>
      </c>
      <c r="J78" s="5"/>
      <c r="K78" s="5"/>
      <c r="L78" s="6">
        <v>140</v>
      </c>
      <c r="M78" s="61">
        <v>94</v>
      </c>
      <c r="N78" s="6">
        <f>12.5+(140-12.5-94)*0.7</f>
        <v>35.950000000000003</v>
      </c>
    </row>
    <row r="79" spans="1:16">
      <c r="A79" s="44" t="s">
        <v>149</v>
      </c>
      <c r="B79" s="44"/>
      <c r="C79" s="35">
        <v>44880</v>
      </c>
      <c r="D79" s="35"/>
      <c r="E79" s="35">
        <v>44575</v>
      </c>
      <c r="F79" s="40"/>
      <c r="G79" s="49"/>
      <c r="H79" s="5">
        <v>13.4</v>
      </c>
      <c r="I79" s="5"/>
      <c r="J79" s="5">
        <v>50</v>
      </c>
      <c r="K79" s="5"/>
      <c r="L79" s="6">
        <v>160</v>
      </c>
      <c r="M79" s="61">
        <f>71+9</f>
        <v>80</v>
      </c>
      <c r="N79" s="6">
        <f>(160-80)*0.7</f>
        <v>56</v>
      </c>
    </row>
    <row r="80" spans="1:16">
      <c r="A80" s="44" t="s">
        <v>146</v>
      </c>
      <c r="B80" s="44"/>
      <c r="C80" s="4">
        <v>44586</v>
      </c>
      <c r="D80" s="4"/>
      <c r="E80" s="4">
        <v>44615</v>
      </c>
      <c r="F80" s="10" t="s">
        <v>161</v>
      </c>
      <c r="G80" s="12">
        <v>12.5</v>
      </c>
      <c r="H80" s="5">
        <v>15.46</v>
      </c>
      <c r="I80" s="5">
        <f>27/30*28</f>
        <v>25.2</v>
      </c>
      <c r="J80" s="5">
        <v>110</v>
      </c>
      <c r="K80" s="5"/>
      <c r="L80" s="6">
        <v>154</v>
      </c>
      <c r="M80" s="61">
        <v>62</v>
      </c>
      <c r="N80" s="6">
        <f>12.5+(154-12.5-62)*0.7</f>
        <v>68.150000000000006</v>
      </c>
    </row>
    <row r="81" spans="1:14">
      <c r="A81" s="44" t="s">
        <v>148</v>
      </c>
      <c r="B81" s="44"/>
      <c r="C81" s="4">
        <v>44579</v>
      </c>
      <c r="D81" s="4"/>
      <c r="E81" s="4">
        <v>44594</v>
      </c>
      <c r="F81" s="40"/>
      <c r="G81" s="49"/>
      <c r="H81" s="5">
        <v>13.4</v>
      </c>
      <c r="I81" s="5">
        <f>22/30*14</f>
        <v>10.266666666666666</v>
      </c>
      <c r="J81" s="5">
        <v>30</v>
      </c>
      <c r="K81" s="5"/>
      <c r="L81" s="6">
        <v>50</v>
      </c>
      <c r="M81" s="61">
        <v>22</v>
      </c>
      <c r="N81" s="6">
        <f>(50-22)*0.7</f>
        <v>19.599999999999998</v>
      </c>
    </row>
    <row r="82" spans="1:14">
      <c r="A82" s="44" t="s">
        <v>150</v>
      </c>
      <c r="B82" s="44"/>
      <c r="C82" s="4">
        <v>44899</v>
      </c>
      <c r="D82" s="4"/>
      <c r="E82" s="4">
        <v>44607</v>
      </c>
      <c r="F82" s="12" t="s">
        <v>160</v>
      </c>
      <c r="G82" s="12">
        <v>12.5</v>
      </c>
      <c r="H82" s="5">
        <v>13.4</v>
      </c>
      <c r="I82" s="5">
        <f>71/30*61</f>
        <v>144.36666666666667</v>
      </c>
      <c r="J82" s="5">
        <v>80</v>
      </c>
      <c r="K82" s="5"/>
      <c r="L82" s="6">
        <v>120</v>
      </c>
      <c r="M82" s="61">
        <v>60</v>
      </c>
      <c r="N82" s="6">
        <f>12.5+(120-72.5)*0.7</f>
        <v>45.75</v>
      </c>
    </row>
    <row r="83" spans="1:14">
      <c r="A83" s="44" t="s">
        <v>151</v>
      </c>
      <c r="B83" s="44"/>
      <c r="C83" s="4">
        <v>44926</v>
      </c>
      <c r="D83" s="4"/>
      <c r="E83" s="4">
        <v>44649</v>
      </c>
      <c r="F83" s="40"/>
      <c r="G83" s="40"/>
      <c r="H83" s="5">
        <v>9.0299999999999994</v>
      </c>
      <c r="I83" s="5">
        <f>25*2+25/30*29</f>
        <v>74.166666666666671</v>
      </c>
      <c r="J83" s="5">
        <v>80</v>
      </c>
      <c r="K83" s="5"/>
      <c r="L83" s="6">
        <v>67.5</v>
      </c>
      <c r="M83" s="61">
        <v>25</v>
      </c>
      <c r="N83" s="6">
        <f>(67.5-25)*0.7</f>
        <v>29.749999999999996</v>
      </c>
    </row>
    <row r="84" spans="1:14">
      <c r="A84" s="44" t="s">
        <v>152</v>
      </c>
      <c r="B84" s="44"/>
      <c r="C84" s="4">
        <v>44852</v>
      </c>
      <c r="D84" s="4"/>
      <c r="E84" s="4">
        <v>44649</v>
      </c>
      <c r="F84" s="40"/>
      <c r="G84" s="40"/>
      <c r="H84" s="5">
        <v>9.0299999999999994</v>
      </c>
      <c r="I84" s="5">
        <f>45*4+45/30*13</f>
        <v>199.5</v>
      </c>
      <c r="J84" s="5">
        <v>80</v>
      </c>
      <c r="K84" s="5"/>
      <c r="L84" s="6">
        <v>67.5</v>
      </c>
      <c r="M84" s="61">
        <v>45</v>
      </c>
      <c r="N84" s="6">
        <f>(L84-M84)*0.7</f>
        <v>15.749999999999998</v>
      </c>
    </row>
    <row r="85" spans="1:14">
      <c r="A85" s="44" t="s">
        <v>153</v>
      </c>
      <c r="B85" s="44"/>
      <c r="C85" s="4">
        <v>44623</v>
      </c>
      <c r="D85" s="4"/>
      <c r="E85" s="4">
        <v>44623</v>
      </c>
      <c r="F85" s="40"/>
      <c r="G85" s="40"/>
      <c r="H85" s="5">
        <v>11.03</v>
      </c>
      <c r="I85" s="5">
        <v>0</v>
      </c>
      <c r="J85" s="5">
        <v>15</v>
      </c>
      <c r="K85" s="5"/>
      <c r="L85" s="6">
        <v>30</v>
      </c>
      <c r="M85" s="61">
        <v>12</v>
      </c>
      <c r="N85" s="6">
        <f>(L85-M85)*0.7</f>
        <v>12.6</v>
      </c>
    </row>
    <row r="86" spans="1:14">
      <c r="A86" s="44" t="s">
        <v>154</v>
      </c>
      <c r="B86" s="44"/>
      <c r="C86" s="4">
        <v>44881</v>
      </c>
      <c r="D86" s="4"/>
      <c r="E86" s="4">
        <v>44628</v>
      </c>
      <c r="F86" s="40"/>
      <c r="G86" s="40"/>
      <c r="H86" s="5">
        <v>9.0299999999999994</v>
      </c>
      <c r="I86" s="5">
        <f>65*3+65/30*22</f>
        <v>242.66666666666666</v>
      </c>
      <c r="J86" s="5">
        <v>95</v>
      </c>
      <c r="K86" s="5"/>
      <c r="L86" s="6">
        <v>112</v>
      </c>
      <c r="M86" s="61">
        <v>65</v>
      </c>
      <c r="N86" s="6">
        <f>(L86-M86)*0.7</f>
        <v>32.9</v>
      </c>
    </row>
    <row r="87" spans="1:14">
      <c r="A87" s="44" t="s">
        <v>155</v>
      </c>
      <c r="B87" s="44"/>
      <c r="C87" s="4">
        <v>44490</v>
      </c>
      <c r="D87" s="4"/>
      <c r="E87" s="4">
        <v>44648</v>
      </c>
      <c r="F87" s="40"/>
      <c r="G87" s="40"/>
      <c r="H87" s="5">
        <v>13.4</v>
      </c>
      <c r="I87" s="5">
        <f>45*5+45/30*7</f>
        <v>235.5</v>
      </c>
      <c r="J87" s="5">
        <v>80</v>
      </c>
      <c r="K87" s="5"/>
      <c r="L87" s="6">
        <v>67.5</v>
      </c>
      <c r="M87" s="61">
        <v>45</v>
      </c>
      <c r="N87" s="6">
        <f>(L87-M87)*0.7</f>
        <v>15.749999999999998</v>
      </c>
    </row>
    <row r="88" spans="1:14">
      <c r="A88" s="44" t="s">
        <v>156</v>
      </c>
      <c r="B88" s="44"/>
      <c r="C88" s="4">
        <v>44489</v>
      </c>
      <c r="D88" s="4"/>
      <c r="E88" s="4">
        <v>44651</v>
      </c>
      <c r="F88" s="40"/>
      <c r="G88" s="40"/>
      <c r="H88" s="5">
        <v>15.46</v>
      </c>
      <c r="I88" s="5">
        <f>50*5+50/10</f>
        <v>255</v>
      </c>
      <c r="J88" s="5">
        <v>145</v>
      </c>
      <c r="K88" s="5"/>
      <c r="L88" s="6">
        <v>125</v>
      </c>
      <c r="M88" s="61">
        <v>50</v>
      </c>
      <c r="N88" s="6">
        <f>(L88-M88)*0.7</f>
        <v>52.5</v>
      </c>
    </row>
    <row r="89" spans="1:14">
      <c r="A89" s="44" t="s">
        <v>157</v>
      </c>
      <c r="B89" s="44"/>
      <c r="C89" s="4">
        <v>44627</v>
      </c>
      <c r="D89" s="4"/>
      <c r="E89" s="4">
        <v>44627</v>
      </c>
      <c r="F89" s="10" t="s">
        <v>161</v>
      </c>
      <c r="G89" s="12">
        <v>10</v>
      </c>
      <c r="H89" s="5">
        <v>15.46</v>
      </c>
      <c r="I89" s="5">
        <v>0</v>
      </c>
      <c r="J89" s="5">
        <v>0</v>
      </c>
      <c r="K89" s="5"/>
      <c r="L89" s="6">
        <v>100</v>
      </c>
      <c r="M89" s="61">
        <v>44</v>
      </c>
      <c r="N89" s="6">
        <f>10+(46)*0.7</f>
        <v>42.199999999999996</v>
      </c>
    </row>
    <row r="90" spans="1:14">
      <c r="A90" s="44" t="s">
        <v>158</v>
      </c>
      <c r="B90" s="44"/>
      <c r="C90" s="4">
        <v>44627</v>
      </c>
      <c r="D90" s="4"/>
      <c r="E90" s="4">
        <v>44627</v>
      </c>
      <c r="F90" s="10" t="s">
        <v>161</v>
      </c>
      <c r="G90" s="12">
        <v>12.5</v>
      </c>
      <c r="H90" s="5">
        <v>15.46</v>
      </c>
      <c r="I90" s="5">
        <v>0</v>
      </c>
      <c r="J90" s="5">
        <v>0</v>
      </c>
      <c r="K90" s="5"/>
      <c r="L90" s="6">
        <v>125</v>
      </c>
      <c r="M90" s="61">
        <v>55</v>
      </c>
      <c r="N90" s="6">
        <f>12.5+(57.5)*0.7</f>
        <v>52.75</v>
      </c>
    </row>
    <row r="91" spans="1:14">
      <c r="A91" s="44" t="s">
        <v>168</v>
      </c>
      <c r="B91" s="44"/>
      <c r="C91" s="4">
        <v>44636</v>
      </c>
      <c r="D91" s="4"/>
      <c r="E91" s="4">
        <v>44659</v>
      </c>
      <c r="F91" s="40"/>
      <c r="G91" s="5"/>
      <c r="H91" s="5">
        <v>13.72</v>
      </c>
      <c r="I91" s="5">
        <f>55/30*24</f>
        <v>44</v>
      </c>
      <c r="J91" s="5">
        <v>80</v>
      </c>
      <c r="K91" s="5"/>
      <c r="L91" s="6">
        <v>120</v>
      </c>
      <c r="M91" s="61">
        <v>55</v>
      </c>
      <c r="N91" s="6">
        <f>10+(110-M91)*0.7</f>
        <v>48.5</v>
      </c>
    </row>
    <row r="92" spans="1:14">
      <c r="A92" s="44" t="s">
        <v>171</v>
      </c>
      <c r="B92" s="44"/>
      <c r="C92" s="4">
        <v>44648</v>
      </c>
      <c r="D92" s="4"/>
      <c r="E92" s="4">
        <v>44734</v>
      </c>
      <c r="F92" s="40"/>
      <c r="G92" s="5"/>
      <c r="H92" s="5">
        <v>13.72</v>
      </c>
      <c r="I92" s="5">
        <f>56/30*84</f>
        <v>156.80000000000001</v>
      </c>
      <c r="J92" s="5">
        <v>95</v>
      </c>
      <c r="K92" s="5"/>
      <c r="L92" s="6">
        <v>140</v>
      </c>
      <c r="M92" s="61">
        <v>56</v>
      </c>
      <c r="N92" s="6">
        <f>(140-56)*0.7</f>
        <v>58.8</v>
      </c>
    </row>
    <row r="93" spans="1:14">
      <c r="A93" s="44" t="s">
        <v>172</v>
      </c>
      <c r="B93" s="44"/>
      <c r="C93" s="4">
        <v>44705</v>
      </c>
      <c r="D93" s="4"/>
      <c r="E93" s="4">
        <v>44715</v>
      </c>
      <c r="F93" s="40"/>
      <c r="G93" s="5"/>
      <c r="H93" s="5">
        <v>10.039999999999999</v>
      </c>
      <c r="I93" s="5">
        <f>25/30*9</f>
        <v>7.5</v>
      </c>
      <c r="J93" s="5"/>
      <c r="K93" s="5"/>
      <c r="L93" s="6">
        <v>50</v>
      </c>
      <c r="M93" s="61">
        <v>25</v>
      </c>
      <c r="N93" s="6">
        <f>(50-25)*0.7</f>
        <v>17.5</v>
      </c>
    </row>
    <row r="94" spans="1:14">
      <c r="A94" s="44" t="s">
        <v>173</v>
      </c>
      <c r="B94" s="44"/>
      <c r="C94" s="4">
        <v>44704</v>
      </c>
      <c r="D94" s="4"/>
      <c r="E94" s="4">
        <v>44721</v>
      </c>
      <c r="F94" s="10" t="s">
        <v>161</v>
      </c>
      <c r="G94" s="56">
        <v>12.5</v>
      </c>
      <c r="H94" s="5">
        <v>13.72</v>
      </c>
      <c r="I94" s="5">
        <f>37/30*16</f>
        <v>19.733333333333334</v>
      </c>
      <c r="J94" s="5">
        <f>50+45</f>
        <v>95</v>
      </c>
      <c r="K94" s="5"/>
      <c r="L94" s="6">
        <v>110</v>
      </c>
      <c r="M94" s="61">
        <v>37</v>
      </c>
      <c r="N94" s="56">
        <f>12.5+(97.5-37)*0.7</f>
        <v>54.849999999999994</v>
      </c>
    </row>
    <row r="95" spans="1:14">
      <c r="A95" s="44" t="s">
        <v>174</v>
      </c>
      <c r="B95" s="44"/>
      <c r="C95" s="4">
        <v>44715</v>
      </c>
      <c r="D95" s="4"/>
      <c r="E95" s="4">
        <v>44820</v>
      </c>
      <c r="F95" s="10" t="s">
        <v>161</v>
      </c>
      <c r="G95" s="56">
        <v>15</v>
      </c>
      <c r="H95" s="5">
        <v>14.6</v>
      </c>
      <c r="I95" s="5">
        <f>56/30*103</f>
        <v>192.26666666666668</v>
      </c>
      <c r="J95" s="5">
        <v>50</v>
      </c>
      <c r="K95" s="5"/>
      <c r="L95" s="6">
        <f>130</f>
        <v>130</v>
      </c>
      <c r="M95" s="61">
        <v>56</v>
      </c>
      <c r="N95" s="56">
        <f>15+(115-56)*0.7</f>
        <v>56.3</v>
      </c>
    </row>
    <row r="96" spans="1:14">
      <c r="A96" s="44" t="s">
        <v>183</v>
      </c>
      <c r="B96" s="44"/>
      <c r="C96" s="4">
        <v>44749</v>
      </c>
      <c r="D96" s="4">
        <v>44830</v>
      </c>
      <c r="E96" s="4">
        <v>44858</v>
      </c>
      <c r="F96" s="40"/>
      <c r="G96" s="5"/>
      <c r="H96" s="5">
        <v>11.03</v>
      </c>
      <c r="I96" s="5">
        <v>25</v>
      </c>
      <c r="J96" s="5">
        <v>15</v>
      </c>
      <c r="K96" s="5"/>
      <c r="L96" s="6">
        <v>80</v>
      </c>
      <c r="M96" s="61">
        <v>25</v>
      </c>
      <c r="N96" s="6">
        <f>55*0.7</f>
        <v>38.5</v>
      </c>
    </row>
    <row r="97" spans="1:14">
      <c r="A97" s="44" t="s">
        <v>184</v>
      </c>
      <c r="B97" s="44"/>
      <c r="C97" s="4">
        <v>44775</v>
      </c>
      <c r="D97" s="4">
        <v>44810</v>
      </c>
      <c r="E97" s="4">
        <v>44848</v>
      </c>
      <c r="F97" s="40"/>
      <c r="G97" s="5"/>
      <c r="H97" s="5">
        <v>23.38</v>
      </c>
      <c r="I97" s="5">
        <f>100/30*38</f>
        <v>126.66666666666667</v>
      </c>
      <c r="J97" s="5">
        <v>155</v>
      </c>
      <c r="K97" s="5"/>
      <c r="L97" s="6">
        <v>220</v>
      </c>
      <c r="M97" s="61">
        <v>100</v>
      </c>
      <c r="N97" s="6">
        <v>90.75</v>
      </c>
    </row>
    <row r="98" spans="1:14">
      <c r="A98" s="44" t="s">
        <v>185</v>
      </c>
      <c r="B98" s="44"/>
      <c r="C98" s="4">
        <v>44830</v>
      </c>
      <c r="D98" s="4">
        <v>44852</v>
      </c>
      <c r="E98" s="4">
        <v>44858</v>
      </c>
      <c r="F98" s="10" t="s">
        <v>161</v>
      </c>
      <c r="G98" s="12">
        <v>12.5</v>
      </c>
      <c r="H98" s="5">
        <v>23.38</v>
      </c>
      <c r="I98" s="5">
        <f>54.5/30*6</f>
        <v>10.9</v>
      </c>
      <c r="J98" s="5">
        <v>95</v>
      </c>
      <c r="K98" s="5"/>
      <c r="L98" s="6">
        <v>140</v>
      </c>
      <c r="M98" s="61">
        <v>55.5</v>
      </c>
      <c r="N98" s="6">
        <f>12.5+(127.5-55.5)*0.7</f>
        <v>62.9</v>
      </c>
    </row>
    <row r="99" spans="1:14">
      <c r="A99" s="44" t="s">
        <v>190</v>
      </c>
      <c r="B99" s="44"/>
      <c r="C99" s="4"/>
      <c r="D99" s="4">
        <v>44879</v>
      </c>
      <c r="E99" s="35">
        <v>44887</v>
      </c>
      <c r="F99" s="44" t="s">
        <v>161</v>
      </c>
      <c r="G99" s="56">
        <v>10</v>
      </c>
      <c r="H99" s="5">
        <v>14.6</v>
      </c>
      <c r="I99" s="5">
        <f>34/30*8</f>
        <v>9.0666666666666664</v>
      </c>
      <c r="J99" s="5">
        <v>45</v>
      </c>
      <c r="K99" s="5"/>
      <c r="L99" s="6">
        <v>90</v>
      </c>
      <c r="M99" s="61">
        <v>34</v>
      </c>
      <c r="N99" s="56">
        <f>10+(80-34)*0.7</f>
        <v>42.199999999999996</v>
      </c>
    </row>
    <row r="100" spans="1:14">
      <c r="A100" s="44" t="s">
        <v>193</v>
      </c>
      <c r="B100" s="44"/>
      <c r="C100" s="4">
        <v>44872</v>
      </c>
      <c r="D100" s="4">
        <v>44879</v>
      </c>
      <c r="E100" s="35">
        <v>44882</v>
      </c>
      <c r="F100" s="40"/>
      <c r="G100" s="5"/>
      <c r="H100" s="5">
        <v>10.039999999999999</v>
      </c>
      <c r="I100" s="5">
        <f>25/30*3</f>
        <v>2.5</v>
      </c>
      <c r="J100" s="5"/>
      <c r="K100" s="5"/>
      <c r="L100" s="6">
        <v>40</v>
      </c>
      <c r="M100" s="61">
        <v>25</v>
      </c>
      <c r="N100" s="6">
        <f>(L100-M100)*0.7</f>
        <v>10.5</v>
      </c>
    </row>
    <row r="101" spans="1:14">
      <c r="A101" s="44" t="s">
        <v>213</v>
      </c>
      <c r="B101" s="44"/>
      <c r="C101" s="4">
        <v>44894</v>
      </c>
      <c r="D101" s="4">
        <v>44908</v>
      </c>
      <c r="E101" s="35">
        <v>44944</v>
      </c>
      <c r="F101" s="40" t="s">
        <v>161</v>
      </c>
      <c r="G101" s="5">
        <v>15</v>
      </c>
      <c r="H101" s="5">
        <v>31.72</v>
      </c>
      <c r="I101" s="5">
        <f>50/30*35</f>
        <v>58.333333333333336</v>
      </c>
      <c r="J101" s="5">
        <f>60+50</f>
        <v>110</v>
      </c>
      <c r="K101" s="5"/>
      <c r="L101" s="6">
        <v>130</v>
      </c>
      <c r="M101" s="61">
        <f>19+2+3.5*2+11*2</f>
        <v>50</v>
      </c>
      <c r="N101" s="94">
        <f>15+(L101-M101-15)*0.7</f>
        <v>60.5</v>
      </c>
    </row>
    <row r="102" spans="1:14">
      <c r="A102" s="44" t="s">
        <v>227</v>
      </c>
      <c r="B102" s="44"/>
      <c r="C102" s="4">
        <v>44949</v>
      </c>
      <c r="D102" s="4">
        <v>44953</v>
      </c>
      <c r="E102" s="35">
        <v>44966</v>
      </c>
      <c r="F102" s="40" t="s">
        <v>160</v>
      </c>
      <c r="G102" s="5">
        <v>15</v>
      </c>
      <c r="H102" s="5">
        <v>16.38</v>
      </c>
      <c r="I102" s="5">
        <f>61.5/30*12</f>
        <v>24.599999999999998</v>
      </c>
      <c r="J102" s="5">
        <f>50+60</f>
        <v>110</v>
      </c>
      <c r="K102" s="5"/>
      <c r="L102" s="6">
        <v>160</v>
      </c>
      <c r="M102" s="65">
        <f>32.5+7+22</f>
        <v>61.5</v>
      </c>
      <c r="N102" s="59">
        <f>15+(L102-M102-15)*0.7</f>
        <v>73.449999999999989</v>
      </c>
    </row>
    <row r="103" spans="1:14">
      <c r="A103" s="44" t="s">
        <v>228</v>
      </c>
      <c r="B103" s="44"/>
      <c r="C103" s="4">
        <v>44957</v>
      </c>
      <c r="D103" s="4">
        <v>44957</v>
      </c>
      <c r="E103" s="35">
        <v>44977</v>
      </c>
      <c r="F103" s="40"/>
      <c r="G103" s="5"/>
      <c r="H103" s="5">
        <v>20.61</v>
      </c>
      <c r="I103" s="5">
        <f>66/30*20</f>
        <v>44</v>
      </c>
      <c r="J103" s="5">
        <v>90</v>
      </c>
      <c r="K103" s="5"/>
      <c r="L103" s="6">
        <v>155</v>
      </c>
      <c r="M103" s="65">
        <v>54</v>
      </c>
      <c r="N103" s="59">
        <f>(L103-M103)*0.7</f>
        <v>70.699999999999989</v>
      </c>
    </row>
    <row r="104" spans="1:14">
      <c r="A104" s="44" t="s">
        <v>255</v>
      </c>
      <c r="B104" s="44"/>
      <c r="C104" s="35">
        <v>44691</v>
      </c>
      <c r="D104" s="35">
        <v>44994</v>
      </c>
      <c r="E104" s="4">
        <v>44994</v>
      </c>
      <c r="F104" s="40"/>
      <c r="G104" s="40"/>
      <c r="H104" s="5">
        <v>11.03</v>
      </c>
      <c r="I104" s="40">
        <f>25*14</f>
        <v>350</v>
      </c>
      <c r="J104" s="40">
        <f>30+50</f>
        <v>80</v>
      </c>
      <c r="K104" s="40"/>
      <c r="L104" s="6">
        <v>90</v>
      </c>
      <c r="M104" s="6">
        <v>25</v>
      </c>
      <c r="N104" s="59">
        <v>48.5</v>
      </c>
    </row>
    <row r="105" spans="1:14">
      <c r="A105" s="44" t="s">
        <v>187</v>
      </c>
      <c r="B105" s="44"/>
      <c r="C105" s="35"/>
      <c r="D105" s="35">
        <v>44991</v>
      </c>
      <c r="E105" s="4">
        <v>44991</v>
      </c>
      <c r="F105" s="40"/>
      <c r="G105" s="40"/>
      <c r="H105" s="5">
        <v>13.31</v>
      </c>
      <c r="I105" s="40"/>
      <c r="J105" s="40">
        <v>45</v>
      </c>
      <c r="K105" s="40"/>
      <c r="L105" s="6">
        <v>80</v>
      </c>
      <c r="M105" s="6">
        <v>27</v>
      </c>
      <c r="N105" s="59">
        <f>(L105-M105)*0.7</f>
        <v>37.099999999999994</v>
      </c>
    </row>
    <row r="106" spans="1:14">
      <c r="A106" s="76" t="s">
        <v>276</v>
      </c>
      <c r="B106" s="44"/>
      <c r="C106" s="35">
        <v>45061</v>
      </c>
      <c r="D106" s="35">
        <v>45070</v>
      </c>
      <c r="E106" s="4"/>
      <c r="F106" s="40"/>
      <c r="G106" s="40"/>
      <c r="H106" s="5">
        <v>11.48</v>
      </c>
      <c r="I106" s="40">
        <f>21/30*9</f>
        <v>6.3</v>
      </c>
      <c r="J106" s="40"/>
      <c r="K106" s="40"/>
      <c r="L106" s="17">
        <f>50</f>
        <v>50</v>
      </c>
      <c r="M106" s="18">
        <v>21</v>
      </c>
      <c r="N106" s="70">
        <f>(50-21)*0.7</f>
        <v>20.299999999999997</v>
      </c>
    </row>
    <row r="107" spans="1:14">
      <c r="A107" s="76" t="s">
        <v>279</v>
      </c>
      <c r="B107" s="44"/>
      <c r="C107" s="35">
        <v>45065</v>
      </c>
      <c r="D107" s="35">
        <v>45070</v>
      </c>
      <c r="E107" s="4"/>
      <c r="F107" s="40"/>
      <c r="G107" s="40"/>
      <c r="H107" s="5">
        <v>11.48</v>
      </c>
      <c r="I107" s="40">
        <f>21/30*5</f>
        <v>3.5</v>
      </c>
      <c r="J107" s="40"/>
      <c r="K107" s="40"/>
      <c r="L107" s="17">
        <f>50</f>
        <v>50</v>
      </c>
      <c r="M107" s="18">
        <v>21</v>
      </c>
      <c r="N107" s="70">
        <f>(50-21)*0.7</f>
        <v>20.299999999999997</v>
      </c>
    </row>
    <row r="108" spans="1:14">
      <c r="A108" s="76" t="s">
        <v>278</v>
      </c>
      <c r="B108" s="52"/>
      <c r="C108" s="57">
        <v>44973</v>
      </c>
      <c r="D108" s="57">
        <v>45070</v>
      </c>
      <c r="E108" s="24"/>
      <c r="F108" s="48"/>
      <c r="G108" s="48"/>
      <c r="H108" s="25">
        <v>11.48</v>
      </c>
      <c r="I108" s="48">
        <f>21/30*98</f>
        <v>68.599999999999994</v>
      </c>
      <c r="J108" s="48"/>
      <c r="K108" s="48"/>
      <c r="L108" s="17">
        <v>50</v>
      </c>
      <c r="M108" s="26">
        <v>21</v>
      </c>
      <c r="N108" s="85">
        <f>(50-21)*0.7</f>
        <v>20.299999999999997</v>
      </c>
    </row>
    <row r="109" spans="1:14">
      <c r="A109" s="44" t="s">
        <v>289</v>
      </c>
      <c r="B109" s="44"/>
      <c r="C109" s="35">
        <v>45110</v>
      </c>
      <c r="D109" s="35">
        <v>45127</v>
      </c>
      <c r="E109" s="4">
        <v>45110</v>
      </c>
      <c r="F109" s="40"/>
      <c r="G109" s="40"/>
      <c r="H109" s="5">
        <v>13.31</v>
      </c>
      <c r="I109" s="40">
        <f>27/30*17</f>
        <v>15.3</v>
      </c>
      <c r="J109" s="40">
        <v>45</v>
      </c>
      <c r="K109" s="40"/>
      <c r="L109" s="6">
        <v>75</v>
      </c>
      <c r="M109" s="6">
        <v>27</v>
      </c>
      <c r="N109" s="59">
        <f>(L109-M109)*0.7</f>
        <v>33.599999999999994</v>
      </c>
    </row>
    <row r="110" spans="1:14">
      <c r="A110" s="44" t="s">
        <v>292</v>
      </c>
      <c r="B110" s="44"/>
      <c r="C110" s="35">
        <v>45138</v>
      </c>
      <c r="D110" s="35">
        <v>45139</v>
      </c>
      <c r="E110" s="35">
        <v>45162</v>
      </c>
      <c r="F110" s="40"/>
      <c r="G110" s="40"/>
      <c r="H110" s="5">
        <v>12.48</v>
      </c>
      <c r="I110" s="40">
        <f>27/30*23</f>
        <v>20.7</v>
      </c>
      <c r="J110" s="40">
        <v>45</v>
      </c>
      <c r="K110" s="40"/>
      <c r="L110" s="6">
        <v>90</v>
      </c>
      <c r="M110" s="6">
        <v>27</v>
      </c>
      <c r="N110" s="59">
        <f>(L110-M110)*0.7</f>
        <v>44.099999999999994</v>
      </c>
    </row>
    <row r="111" spans="1:14">
      <c r="A111" s="44" t="s">
        <v>293</v>
      </c>
      <c r="B111" s="44"/>
      <c r="C111" s="35">
        <v>45086</v>
      </c>
      <c r="D111" s="35">
        <v>45089</v>
      </c>
      <c r="E111" s="4">
        <v>45103</v>
      </c>
      <c r="F111" s="40"/>
      <c r="G111" s="40"/>
      <c r="H111" s="5">
        <v>11.03</v>
      </c>
      <c r="I111" s="40">
        <f>21/30*14</f>
        <v>9.7999999999999989</v>
      </c>
      <c r="J111" s="40"/>
      <c r="K111" s="40"/>
      <c r="L111" s="6">
        <v>50</v>
      </c>
      <c r="M111" s="6">
        <v>21</v>
      </c>
      <c r="N111" s="59">
        <f>(L111-M111)*0.7</f>
        <v>20.299999999999997</v>
      </c>
    </row>
    <row r="112" spans="1:14">
      <c r="A112" s="44" t="s">
        <v>295</v>
      </c>
      <c r="B112" s="44"/>
      <c r="C112" s="35">
        <v>45228</v>
      </c>
      <c r="D112" s="35">
        <v>45203</v>
      </c>
      <c r="E112" s="4"/>
      <c r="F112" s="40"/>
      <c r="G112" s="40"/>
      <c r="H112" s="5">
        <v>13.31</v>
      </c>
      <c r="I112" s="40">
        <f>27/30*5</f>
        <v>4.5</v>
      </c>
      <c r="J112" s="40">
        <v>45</v>
      </c>
      <c r="K112" s="40"/>
      <c r="L112" s="6">
        <v>80</v>
      </c>
      <c r="M112" s="6">
        <v>27</v>
      </c>
      <c r="N112" s="59">
        <f>(L112-M112)*0.7</f>
        <v>37.099999999999994</v>
      </c>
    </row>
    <row r="113" spans="1:16">
      <c r="A113" s="44" t="s">
        <v>320</v>
      </c>
      <c r="B113" s="44"/>
      <c r="C113" s="35">
        <v>45177</v>
      </c>
      <c r="D113" s="35">
        <v>45196</v>
      </c>
      <c r="E113" s="4"/>
      <c r="F113" s="40"/>
      <c r="G113" s="40"/>
      <c r="H113" s="5">
        <v>10.44</v>
      </c>
      <c r="I113" s="40">
        <f>38/30*21</f>
        <v>26.599999999999998</v>
      </c>
      <c r="J113" s="40"/>
      <c r="K113" s="40"/>
      <c r="L113" s="6">
        <v>69</v>
      </c>
      <c r="M113" s="6">
        <v>38</v>
      </c>
      <c r="N113" s="59">
        <f>(69-38)*0.7</f>
        <v>21.7</v>
      </c>
    </row>
    <row r="114" spans="1:16">
      <c r="A114" s="44" t="s">
        <v>325</v>
      </c>
      <c r="B114" s="44"/>
      <c r="C114" s="35"/>
      <c r="D114" s="35">
        <v>45223</v>
      </c>
      <c r="E114" s="4">
        <v>45239</v>
      </c>
      <c r="F114" s="40"/>
      <c r="G114" s="40"/>
      <c r="H114" s="5">
        <v>40</v>
      </c>
      <c r="I114" s="40">
        <f>43/30*15</f>
        <v>21.5</v>
      </c>
      <c r="J114" s="40"/>
      <c r="K114" s="40"/>
      <c r="L114" s="6">
        <v>69</v>
      </c>
      <c r="M114" s="6">
        <v>43</v>
      </c>
      <c r="N114" s="94">
        <f>(69-43)*0.7</f>
        <v>18.2</v>
      </c>
      <c r="O114" s="72" t="s">
        <v>329</v>
      </c>
      <c r="P114" s="72">
        <v>12.74</v>
      </c>
    </row>
    <row r="115" spans="1:16">
      <c r="A115" s="44" t="s">
        <v>326</v>
      </c>
      <c r="B115" s="44"/>
      <c r="C115" s="35"/>
      <c r="D115" s="35">
        <v>45188</v>
      </c>
      <c r="E115" s="4">
        <v>45209</v>
      </c>
      <c r="F115" s="40"/>
      <c r="G115" s="40"/>
      <c r="H115" s="5">
        <v>11.48</v>
      </c>
      <c r="I115" s="40"/>
      <c r="J115" s="40"/>
      <c r="K115" s="40"/>
      <c r="L115" s="6">
        <v>59</v>
      </c>
      <c r="M115" s="6">
        <v>38</v>
      </c>
      <c r="N115" s="59">
        <f>(L115-M115)*0.7</f>
        <v>14.7</v>
      </c>
    </row>
    <row r="116" spans="1:16">
      <c r="A116" s="44" t="s">
        <v>108</v>
      </c>
      <c r="B116" s="44"/>
      <c r="C116" s="35"/>
      <c r="D116" s="35">
        <v>45231</v>
      </c>
      <c r="E116" s="4">
        <v>45231</v>
      </c>
      <c r="F116" s="40"/>
      <c r="G116" s="40"/>
      <c r="H116" s="5"/>
      <c r="I116" s="40"/>
      <c r="J116" s="40"/>
      <c r="K116" s="40"/>
      <c r="L116" s="6">
        <v>69</v>
      </c>
      <c r="M116" s="6">
        <v>43</v>
      </c>
      <c r="N116" s="59">
        <f>(L116-M116)*0.7</f>
        <v>18.2</v>
      </c>
    </row>
    <row r="117" spans="1:16">
      <c r="A117" s="44" t="s">
        <v>327</v>
      </c>
      <c r="B117" s="44"/>
      <c r="C117" s="35"/>
      <c r="D117" s="35"/>
      <c r="E117" s="4">
        <v>45127</v>
      </c>
      <c r="F117" s="40"/>
      <c r="G117" s="40"/>
      <c r="H117" s="5">
        <v>11.48</v>
      </c>
      <c r="I117" s="40"/>
      <c r="J117" s="40"/>
      <c r="K117" s="40"/>
      <c r="L117" s="6">
        <v>25</v>
      </c>
      <c r="M117" s="6">
        <v>9</v>
      </c>
      <c r="N117" s="59">
        <f>(L117-M117)*0.7</f>
        <v>11.2</v>
      </c>
    </row>
    <row r="118" spans="1:16">
      <c r="C118" s="36"/>
      <c r="D118" s="36"/>
      <c r="F118" s="28"/>
      <c r="G118" s="28"/>
      <c r="H118" s="30"/>
      <c r="I118" s="28"/>
      <c r="M118" s="62" t="s">
        <v>4</v>
      </c>
      <c r="N118" s="18">
        <f>SUM(N2:N117)</f>
        <v>4318.2500000000009</v>
      </c>
      <c r="P118">
        <v>4298.3</v>
      </c>
    </row>
    <row r="119" spans="1:16">
      <c r="C119" s="36"/>
      <c r="D119" s="36"/>
      <c r="F119" s="28"/>
      <c r="G119" s="28"/>
      <c r="H119" s="30"/>
      <c r="I119" s="28"/>
      <c r="M119" s="61" t="s">
        <v>251</v>
      </c>
      <c r="N119" s="6"/>
    </row>
    <row r="120" spans="1:16">
      <c r="C120" s="36"/>
      <c r="D120" s="36"/>
      <c r="F120" s="28"/>
      <c r="G120" s="28"/>
      <c r="H120" s="30"/>
      <c r="I120" s="28"/>
    </row>
    <row r="122" spans="1:16">
      <c r="A122" s="28"/>
      <c r="B122" s="28"/>
      <c r="E122" s="15"/>
      <c r="F122" s="1"/>
      <c r="G122" s="1"/>
      <c r="H122" s="1"/>
      <c r="I122" s="1"/>
      <c r="J122" s="1"/>
      <c r="K122" s="1"/>
      <c r="L122" s="1"/>
      <c r="M122" s="1"/>
      <c r="N122" s="29"/>
    </row>
    <row r="123" spans="1:16">
      <c r="L123" s="1"/>
      <c r="M123" s="1"/>
    </row>
    <row r="124" spans="1:16">
      <c r="H124" s="30"/>
      <c r="L124" s="1"/>
      <c r="M124"/>
    </row>
    <row r="125" spans="1:16">
      <c r="I125" s="42"/>
      <c r="M125"/>
    </row>
  </sheetData>
  <autoFilter ref="A1:P119">
    <sortState ref="A2:P103">
      <sortCondition ref="B1:B103"/>
    </sortState>
  </autoFilter>
  <pageMargins left="0.7" right="0.7" top="0.75" bottom="0.75" header="0.3" footer="0.3"/>
  <pageSetup paperSize="9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>
  <dimension ref="A1:P127"/>
  <sheetViews>
    <sheetView topLeftCell="C111" workbookViewId="0">
      <selection activeCell="L99" sqref="L99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3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50</v>
      </c>
      <c r="M5" s="61">
        <v>22</v>
      </c>
      <c r="N5" s="6">
        <f t="shared" si="0"/>
        <v>19.599999999999998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40</v>
      </c>
      <c r="B19" s="2"/>
      <c r="C19" s="4">
        <v>43106</v>
      </c>
      <c r="D19" s="4"/>
      <c r="E19" s="4">
        <v>43146</v>
      </c>
      <c r="F19" s="5"/>
      <c r="G19" s="49"/>
      <c r="H19" s="5">
        <v>8.2899999999999991</v>
      </c>
      <c r="I19" s="102">
        <f>25/30*39</f>
        <v>32.5</v>
      </c>
      <c r="J19" s="5"/>
      <c r="K19" s="5"/>
      <c r="L19" s="6">
        <v>70</v>
      </c>
      <c r="M19" s="61">
        <v>26</v>
      </c>
      <c r="N19" s="6">
        <f t="shared" si="0"/>
        <v>30.799999999999997</v>
      </c>
    </row>
    <row r="20" spans="1:15">
      <c r="A20" s="2" t="s">
        <v>44</v>
      </c>
      <c r="B20" s="2"/>
      <c r="C20" s="4">
        <v>43196</v>
      </c>
      <c r="D20" s="4"/>
      <c r="E20" s="4">
        <v>43250</v>
      </c>
      <c r="F20" s="5"/>
      <c r="G20" s="49"/>
      <c r="H20" s="5">
        <v>13.78</v>
      </c>
      <c r="I20" s="102">
        <f>25*24/30+25</f>
        <v>45</v>
      </c>
      <c r="J20" s="5"/>
      <c r="K20" s="5"/>
      <c r="L20" s="6">
        <v>11</v>
      </c>
      <c r="M20" s="61">
        <v>25</v>
      </c>
      <c r="N20" s="6">
        <v>9.7999999999999989</v>
      </c>
    </row>
    <row r="21" spans="1:15">
      <c r="A21" s="22" t="s">
        <v>47</v>
      </c>
      <c r="B21" s="22"/>
      <c r="C21" s="4">
        <v>43355</v>
      </c>
      <c r="D21" s="4"/>
      <c r="E21" s="4">
        <v>43277</v>
      </c>
      <c r="F21" s="5"/>
      <c r="G21" s="49"/>
      <c r="H21" s="5">
        <v>19.98</v>
      </c>
      <c r="I21" s="102">
        <f>36*2+36/30*16</f>
        <v>91.2</v>
      </c>
      <c r="J21" s="5"/>
      <c r="K21" s="5"/>
      <c r="L21" s="6">
        <v>105</v>
      </c>
      <c r="M21" s="61">
        <v>36</v>
      </c>
      <c r="N21" s="6">
        <f t="shared" si="0"/>
        <v>48.3</v>
      </c>
    </row>
    <row r="22" spans="1:15">
      <c r="A22" s="22" t="s">
        <v>48</v>
      </c>
      <c r="B22" s="22"/>
      <c r="C22" s="4">
        <v>43367</v>
      </c>
      <c r="D22" s="4"/>
      <c r="E22" s="4">
        <v>43284</v>
      </c>
      <c r="F22" s="5"/>
      <c r="G22" s="49"/>
      <c r="H22" s="5">
        <v>9.1</v>
      </c>
      <c r="I22" s="102">
        <f>25+25/30*27</f>
        <v>47.5</v>
      </c>
      <c r="J22" s="5"/>
      <c r="K22" s="5"/>
      <c r="L22" s="6">
        <v>75</v>
      </c>
      <c r="M22" s="61">
        <v>25</v>
      </c>
      <c r="N22" s="6">
        <f t="shared" si="0"/>
        <v>35</v>
      </c>
    </row>
    <row r="23" spans="1:15">
      <c r="A23" s="2" t="s">
        <v>45</v>
      </c>
      <c r="B23" s="2"/>
      <c r="C23" s="4"/>
      <c r="D23" s="4"/>
      <c r="E23" s="4">
        <v>43286</v>
      </c>
      <c r="F23" s="5"/>
      <c r="G23" s="49"/>
      <c r="H23" s="5">
        <v>11.56</v>
      </c>
      <c r="I23" s="102"/>
      <c r="J23" s="5"/>
      <c r="K23" s="5"/>
      <c r="L23" s="6">
        <v>150</v>
      </c>
      <c r="M23" s="61">
        <v>76</v>
      </c>
      <c r="N23" s="6">
        <f t="shared" si="0"/>
        <v>51.8</v>
      </c>
      <c r="O23" s="20"/>
    </row>
    <row r="24" spans="1:15">
      <c r="A24" s="22" t="s">
        <v>49</v>
      </c>
      <c r="B24" s="22"/>
      <c r="C24" s="4">
        <v>43367</v>
      </c>
      <c r="D24" s="4"/>
      <c r="E24" s="4">
        <v>43291</v>
      </c>
      <c r="F24" s="5"/>
      <c r="G24" s="49"/>
      <c r="H24" s="5">
        <v>10.039999999999999</v>
      </c>
      <c r="I24" s="102">
        <f>50+25/30*14</f>
        <v>61.666666666666671</v>
      </c>
      <c r="J24" s="5"/>
      <c r="K24" s="5"/>
      <c r="L24" s="6">
        <v>50</v>
      </c>
      <c r="M24" s="61">
        <v>22</v>
      </c>
      <c r="N24" s="18">
        <f t="shared" si="0"/>
        <v>19.599999999999998</v>
      </c>
    </row>
    <row r="25" spans="1:15">
      <c r="A25" s="22" t="s">
        <v>51</v>
      </c>
      <c r="B25" s="22"/>
      <c r="C25" s="4">
        <v>43358</v>
      </c>
      <c r="D25" s="4"/>
      <c r="E25" s="4">
        <v>43291</v>
      </c>
      <c r="F25" s="5"/>
      <c r="G25" s="49"/>
      <c r="H25" s="5">
        <v>10.039999999999999</v>
      </c>
      <c r="I25" s="102">
        <f>50+25/30*5</f>
        <v>54.166666666666664</v>
      </c>
      <c r="J25" s="5"/>
      <c r="K25" s="5"/>
      <c r="L25" s="6">
        <v>75</v>
      </c>
      <c r="M25" s="61">
        <v>25</v>
      </c>
      <c r="N25" s="6">
        <f t="shared" si="0"/>
        <v>35</v>
      </c>
    </row>
    <row r="26" spans="1:15">
      <c r="A26" s="22" t="s">
        <v>52</v>
      </c>
      <c r="B26" s="22"/>
      <c r="C26" s="4">
        <v>43367</v>
      </c>
      <c r="D26" s="4"/>
      <c r="E26" s="4">
        <v>43308</v>
      </c>
      <c r="F26" s="5"/>
      <c r="G26" s="49"/>
      <c r="H26" s="5">
        <v>10.86</v>
      </c>
      <c r="I26" s="102">
        <f>25+25/30*27</f>
        <v>47.5</v>
      </c>
      <c r="J26" s="5"/>
      <c r="K26" s="5"/>
      <c r="L26" s="6">
        <v>75</v>
      </c>
      <c r="M26" s="61">
        <v>25</v>
      </c>
      <c r="N26" s="27">
        <f t="shared" si="0"/>
        <v>35</v>
      </c>
    </row>
    <row r="27" spans="1:15">
      <c r="A27" s="22" t="s">
        <v>50</v>
      </c>
      <c r="B27" s="22"/>
      <c r="C27" s="4">
        <v>43367</v>
      </c>
      <c r="D27" s="4"/>
      <c r="E27" s="4">
        <v>43312</v>
      </c>
      <c r="F27" s="5"/>
      <c r="G27" s="49"/>
      <c r="H27" s="5">
        <v>10.86</v>
      </c>
      <c r="I27" s="102">
        <f>25+25/30*24</f>
        <v>45</v>
      </c>
      <c r="J27" s="5"/>
      <c r="K27" s="5"/>
      <c r="L27" s="6">
        <v>70</v>
      </c>
      <c r="M27" s="61">
        <v>25</v>
      </c>
      <c r="N27" s="6">
        <f t="shared" si="0"/>
        <v>31.499999999999996</v>
      </c>
    </row>
    <row r="28" spans="1:15">
      <c r="A28" s="22" t="s">
        <v>55</v>
      </c>
      <c r="B28" s="22"/>
      <c r="C28" s="4">
        <v>43363</v>
      </c>
      <c r="D28" s="4"/>
      <c r="E28" s="4">
        <v>43440</v>
      </c>
      <c r="F28" s="5"/>
      <c r="G28" s="49"/>
      <c r="H28" s="5">
        <v>14.11</v>
      </c>
      <c r="I28" s="102">
        <f>25*2+25*16/30</f>
        <v>63.333333333333336</v>
      </c>
      <c r="J28" s="5"/>
      <c r="K28" s="5"/>
      <c r="L28" s="6">
        <v>75</v>
      </c>
      <c r="M28" s="61">
        <v>25</v>
      </c>
      <c r="N28" s="6">
        <f t="shared" si="0"/>
        <v>35</v>
      </c>
    </row>
    <row r="29" spans="1:15">
      <c r="A29" s="22" t="s">
        <v>54</v>
      </c>
      <c r="B29" s="22"/>
      <c r="C29" s="4">
        <v>43167</v>
      </c>
      <c r="D29" s="4"/>
      <c r="E29" s="4">
        <v>43455</v>
      </c>
      <c r="F29" s="5"/>
      <c r="G29" s="49"/>
      <c r="H29" s="5">
        <v>10.86</v>
      </c>
      <c r="I29" s="102">
        <f>9*25+25*13/30</f>
        <v>235.83333333333334</v>
      </c>
      <c r="J29" s="5"/>
      <c r="K29" s="5"/>
      <c r="L29" s="6">
        <v>90</v>
      </c>
      <c r="M29" s="61">
        <v>36</v>
      </c>
      <c r="N29" s="6">
        <f t="shared" si="0"/>
        <v>37.799999999999997</v>
      </c>
    </row>
    <row r="30" spans="1:15">
      <c r="A30" s="22" t="s">
        <v>57</v>
      </c>
      <c r="B30" s="55"/>
      <c r="C30" s="31">
        <v>43478</v>
      </c>
      <c r="D30" s="31"/>
      <c r="E30" s="4">
        <v>43536</v>
      </c>
      <c r="F30" s="5"/>
      <c r="G30" s="49"/>
      <c r="H30" s="5">
        <v>10.86</v>
      </c>
      <c r="I30" s="102">
        <v>25</v>
      </c>
      <c r="J30" s="5"/>
      <c r="K30" s="5"/>
      <c r="L30" s="6">
        <v>70</v>
      </c>
      <c r="M30" s="61">
        <v>25</v>
      </c>
      <c r="N30" s="6">
        <f t="shared" si="0"/>
        <v>31.499999999999996</v>
      </c>
    </row>
    <row r="31" spans="1:15">
      <c r="A31" s="22" t="s">
        <v>59</v>
      </c>
      <c r="B31" s="22"/>
      <c r="C31" s="4">
        <v>43528</v>
      </c>
      <c r="D31" s="4"/>
      <c r="E31" s="4">
        <v>43538</v>
      </c>
      <c r="F31" s="5"/>
      <c r="G31" s="49"/>
      <c r="H31" s="5">
        <v>14.92</v>
      </c>
      <c r="I31" s="102">
        <f>77/30*10</f>
        <v>25.666666666666668</v>
      </c>
      <c r="J31" s="5"/>
      <c r="K31" s="5"/>
      <c r="L31" s="6">
        <v>169</v>
      </c>
      <c r="M31" s="61">
        <f>64+11+2</f>
        <v>77</v>
      </c>
      <c r="N31" s="6">
        <f t="shared" si="0"/>
        <v>64.399999999999991</v>
      </c>
    </row>
    <row r="32" spans="1:15">
      <c r="A32" s="22" t="s">
        <v>58</v>
      </c>
      <c r="B32" s="22"/>
      <c r="C32" s="4">
        <v>43534</v>
      </c>
      <c r="D32" s="4"/>
      <c r="E32" s="4">
        <v>43542</v>
      </c>
      <c r="F32" s="5"/>
      <c r="G32" s="49"/>
      <c r="H32" s="5">
        <f>10.86*2</f>
        <v>21.72</v>
      </c>
      <c r="I32" s="102">
        <v>0</v>
      </c>
      <c r="J32" s="5"/>
      <c r="K32" s="5"/>
      <c r="L32" s="6">
        <v>60</v>
      </c>
      <c r="M32" s="61">
        <v>33</v>
      </c>
      <c r="N32" s="6">
        <v>18.899999999999999</v>
      </c>
    </row>
    <row r="33" spans="1:15">
      <c r="A33" s="22" t="s">
        <v>61</v>
      </c>
      <c r="B33" s="22"/>
      <c r="C33" s="4">
        <v>43482</v>
      </c>
      <c r="D33" s="4"/>
      <c r="E33" s="4">
        <v>43542</v>
      </c>
      <c r="F33" s="5"/>
      <c r="G33" s="49"/>
      <c r="H33" s="5">
        <v>11.1</v>
      </c>
      <c r="I33" s="102">
        <f>25*2</f>
        <v>50</v>
      </c>
      <c r="J33" s="5"/>
      <c r="K33" s="5"/>
      <c r="L33" s="6">
        <v>70</v>
      </c>
      <c r="M33" s="61">
        <v>26</v>
      </c>
      <c r="N33" s="6">
        <f t="shared" si="0"/>
        <v>30.799999999999997</v>
      </c>
    </row>
    <row r="34" spans="1:15">
      <c r="A34" s="22" t="s">
        <v>67</v>
      </c>
      <c r="B34" s="22"/>
      <c r="C34" s="4">
        <v>43600</v>
      </c>
      <c r="D34" s="4"/>
      <c r="E34" s="4">
        <v>43629</v>
      </c>
      <c r="F34" s="5"/>
      <c r="G34" s="49"/>
      <c r="H34" s="5">
        <f>10.86*2</f>
        <v>21.72</v>
      </c>
      <c r="I34" s="102">
        <f>22/30*58</f>
        <v>42.533333333333331</v>
      </c>
      <c r="J34" s="5">
        <v>50</v>
      </c>
      <c r="K34" s="5">
        <f>H34+I34+J34</f>
        <v>114.25333333333333</v>
      </c>
      <c r="L34" s="6">
        <v>60</v>
      </c>
      <c r="M34" s="61">
        <v>25</v>
      </c>
      <c r="N34" s="6">
        <v>0</v>
      </c>
    </row>
    <row r="35" spans="1:15">
      <c r="A35" s="22" t="s">
        <v>66</v>
      </c>
      <c r="B35" s="22"/>
      <c r="C35" s="4">
        <v>43600</v>
      </c>
      <c r="D35" s="4"/>
      <c r="E35" s="4">
        <v>43629</v>
      </c>
      <c r="F35" s="5"/>
      <c r="G35" s="49"/>
      <c r="H35" s="5">
        <f>10.86</f>
        <v>10.86</v>
      </c>
      <c r="I35" s="102">
        <f>39/30*58</f>
        <v>75.400000000000006</v>
      </c>
      <c r="J35" s="5"/>
      <c r="K35" s="5">
        <f>H35+I35</f>
        <v>86.26</v>
      </c>
      <c r="L35" s="6">
        <v>110</v>
      </c>
      <c r="M35" s="61">
        <f>25+11+3</f>
        <v>39</v>
      </c>
      <c r="N35" s="6">
        <v>0</v>
      </c>
      <c r="O35" t="s">
        <v>73</v>
      </c>
    </row>
    <row r="36" spans="1:15">
      <c r="A36" s="22" t="s">
        <v>64</v>
      </c>
      <c r="B36" s="22"/>
      <c r="C36" s="4">
        <v>43627</v>
      </c>
      <c r="D36" s="4"/>
      <c r="E36" s="4">
        <v>43629</v>
      </c>
      <c r="F36" s="5"/>
      <c r="G36" s="49"/>
      <c r="H36" s="5">
        <v>10.86</v>
      </c>
      <c r="I36" s="102">
        <f>25/30*2</f>
        <v>1.6666666666666667</v>
      </c>
      <c r="J36" s="5"/>
      <c r="K36" s="5">
        <f>H36+I36</f>
        <v>12.526666666666666</v>
      </c>
      <c r="L36" s="6">
        <v>200</v>
      </c>
      <c r="M36" s="61">
        <v>11</v>
      </c>
      <c r="N36" s="5">
        <f t="shared" ref="N36:N48" si="1">(L36-M36)*0.7</f>
        <v>132.29999999999998</v>
      </c>
    </row>
    <row r="37" spans="1:15">
      <c r="A37" s="22" t="s">
        <v>65</v>
      </c>
      <c r="B37" s="22"/>
      <c r="C37" s="4">
        <v>43622</v>
      </c>
      <c r="D37" s="4"/>
      <c r="E37" s="4">
        <v>43650</v>
      </c>
      <c r="F37" s="5"/>
      <c r="G37" s="49"/>
      <c r="H37" s="5">
        <v>10.86</v>
      </c>
      <c r="I37" s="102"/>
      <c r="J37" s="5"/>
      <c r="K37" s="5"/>
      <c r="L37" s="6">
        <v>120</v>
      </c>
      <c r="M37" s="61">
        <v>60</v>
      </c>
      <c r="N37" s="6">
        <f t="shared" si="1"/>
        <v>42</v>
      </c>
    </row>
    <row r="38" spans="1:15">
      <c r="A38" s="22" t="s">
        <v>71</v>
      </c>
      <c r="B38" s="22"/>
      <c r="C38" s="4">
        <v>43635</v>
      </c>
      <c r="D38" s="4"/>
      <c r="E38" s="4">
        <v>43662</v>
      </c>
      <c r="F38" s="5"/>
      <c r="G38" s="49"/>
      <c r="H38" s="5">
        <f>10.86*2</f>
        <v>21.72</v>
      </c>
      <c r="I38" s="102"/>
      <c r="J38" s="5"/>
      <c r="K38" s="5"/>
      <c r="L38" s="6">
        <v>70</v>
      </c>
      <c r="M38" s="61">
        <v>26</v>
      </c>
      <c r="N38" s="6">
        <f t="shared" si="1"/>
        <v>30.799999999999997</v>
      </c>
      <c r="O38" t="s">
        <v>72</v>
      </c>
    </row>
    <row r="39" spans="1:15">
      <c r="A39" s="2" t="s">
        <v>75</v>
      </c>
      <c r="B39" s="2"/>
      <c r="C39" s="4">
        <v>43656</v>
      </c>
      <c r="D39" s="4"/>
      <c r="E39" s="4">
        <v>43711</v>
      </c>
      <c r="F39" s="5"/>
      <c r="G39" s="49"/>
      <c r="H39" s="5">
        <v>10.86</v>
      </c>
      <c r="I39" s="102">
        <f>36/30*48</f>
        <v>57.599999999999994</v>
      </c>
      <c r="J39" s="5"/>
      <c r="K39" s="5"/>
      <c r="L39" s="6">
        <v>105</v>
      </c>
      <c r="M39" s="61">
        <v>36</v>
      </c>
      <c r="N39" s="6">
        <f t="shared" si="1"/>
        <v>48.3</v>
      </c>
    </row>
    <row r="40" spans="1:15">
      <c r="A40" s="2" t="s">
        <v>76</v>
      </c>
      <c r="B40" s="2"/>
      <c r="C40" s="4">
        <v>43677</v>
      </c>
      <c r="D40" s="4"/>
      <c r="E40" s="4">
        <v>43713</v>
      </c>
      <c r="F40" s="5"/>
      <c r="G40" s="49"/>
      <c r="H40" s="5">
        <v>24.06</v>
      </c>
      <c r="I40" s="102">
        <f>80/30*35</f>
        <v>93.333333333333329</v>
      </c>
      <c r="J40" s="5">
        <v>40</v>
      </c>
      <c r="K40" s="5"/>
      <c r="L40" s="6">
        <v>149</v>
      </c>
      <c r="M40" s="61">
        <v>80</v>
      </c>
      <c r="N40" s="6">
        <f t="shared" si="1"/>
        <v>48.3</v>
      </c>
      <c r="O40" t="s">
        <v>79</v>
      </c>
    </row>
    <row r="41" spans="1:15">
      <c r="A41" s="2" t="s">
        <v>81</v>
      </c>
      <c r="B41" s="2"/>
      <c r="C41" s="4">
        <v>43788</v>
      </c>
      <c r="D41" s="4"/>
      <c r="E41" s="4">
        <v>43865</v>
      </c>
      <c r="F41" s="5"/>
      <c r="G41" s="49"/>
      <c r="H41" s="5">
        <v>9.14</v>
      </c>
      <c r="I41" s="102">
        <f>25/30*45</f>
        <v>37.5</v>
      </c>
      <c r="J41" s="5"/>
      <c r="K41" s="5"/>
      <c r="L41" s="6">
        <v>90</v>
      </c>
      <c r="M41" s="61">
        <v>25</v>
      </c>
      <c r="N41" s="6">
        <f t="shared" si="1"/>
        <v>45.5</v>
      </c>
    </row>
    <row r="42" spans="1:15">
      <c r="A42" s="22" t="s">
        <v>87</v>
      </c>
      <c r="B42" s="22"/>
      <c r="C42" s="35">
        <v>43878</v>
      </c>
      <c r="D42" s="35"/>
      <c r="E42" s="35">
        <v>43892</v>
      </c>
      <c r="F42" s="5"/>
      <c r="G42" s="49"/>
      <c r="H42" s="5">
        <v>12.19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5">
      <c r="A43" s="22" t="s">
        <v>89</v>
      </c>
      <c r="B43" s="22"/>
      <c r="C43" s="35">
        <v>43908</v>
      </c>
      <c r="D43" s="35"/>
      <c r="E43" s="35">
        <v>43893</v>
      </c>
      <c r="F43" s="5"/>
      <c r="G43" s="49"/>
      <c r="H43" s="5">
        <v>9.6</v>
      </c>
      <c r="I43" s="102"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5">
      <c r="A44" s="22" t="s">
        <v>85</v>
      </c>
      <c r="B44" s="22"/>
      <c r="C44" s="35">
        <v>43881</v>
      </c>
      <c r="D44" s="35"/>
      <c r="E44" s="35">
        <v>43895</v>
      </c>
      <c r="F44" s="5"/>
      <c r="G44" s="49"/>
      <c r="H44" s="5">
        <v>9.14</v>
      </c>
      <c r="I44" s="102">
        <f>11/30*15</f>
        <v>5.5</v>
      </c>
      <c r="J44" s="5"/>
      <c r="K44" s="5"/>
      <c r="L44" s="6">
        <v>25</v>
      </c>
      <c r="M44" s="61">
        <v>11</v>
      </c>
      <c r="N44" s="6">
        <f t="shared" si="1"/>
        <v>9.7999999999999989</v>
      </c>
    </row>
    <row r="45" spans="1:15">
      <c r="A45" s="39" t="s">
        <v>82</v>
      </c>
      <c r="B45" s="28"/>
      <c r="C45" s="36">
        <v>40235</v>
      </c>
      <c r="D45" s="36"/>
      <c r="E45" s="36">
        <v>43901</v>
      </c>
      <c r="F45" s="5"/>
      <c r="G45" s="34"/>
      <c r="H45" s="37">
        <v>9.6</v>
      </c>
      <c r="I45" s="102">
        <f>11/2</f>
        <v>5.5</v>
      </c>
      <c r="J45" s="5"/>
      <c r="K45" s="5"/>
      <c r="L45" s="17">
        <v>25</v>
      </c>
      <c r="M45" s="63">
        <v>11</v>
      </c>
      <c r="N45" s="26">
        <f t="shared" si="1"/>
        <v>9.7999999999999989</v>
      </c>
    </row>
    <row r="46" spans="1:15">
      <c r="A46" s="22" t="s">
        <v>84</v>
      </c>
      <c r="B46" s="22"/>
      <c r="C46" s="35">
        <v>43889</v>
      </c>
      <c r="D46" s="35"/>
      <c r="E46" s="35">
        <v>43903</v>
      </c>
      <c r="F46" s="5"/>
      <c r="G46" s="49"/>
      <c r="H46" s="5">
        <v>9.14</v>
      </c>
      <c r="I46" s="102">
        <f>11/30*15</f>
        <v>5.5</v>
      </c>
      <c r="J46" s="5"/>
      <c r="K46" s="5"/>
      <c r="L46" s="6">
        <v>25</v>
      </c>
      <c r="M46" s="61">
        <v>11</v>
      </c>
      <c r="N46" s="6">
        <f t="shared" si="1"/>
        <v>9.7999999999999989</v>
      </c>
    </row>
    <row r="47" spans="1:15">
      <c r="A47" s="22" t="s">
        <v>80</v>
      </c>
      <c r="B47" s="22"/>
      <c r="C47" s="35">
        <v>43873</v>
      </c>
      <c r="D47" s="35"/>
      <c r="E47" s="35">
        <v>43910</v>
      </c>
      <c r="F47" s="5"/>
      <c r="G47" s="49"/>
      <c r="H47" s="5">
        <v>21.84</v>
      </c>
      <c r="I47" s="102">
        <f>56/30*38</f>
        <v>70.933333333333337</v>
      </c>
      <c r="J47" s="5"/>
      <c r="K47" s="5"/>
      <c r="L47" s="6">
        <v>120</v>
      </c>
      <c r="M47" s="61">
        <v>56</v>
      </c>
      <c r="N47" s="6">
        <f t="shared" si="1"/>
        <v>44.8</v>
      </c>
    </row>
    <row r="48" spans="1:15">
      <c r="A48" s="22" t="s">
        <v>88</v>
      </c>
      <c r="B48" s="22"/>
      <c r="C48" s="35">
        <v>43855</v>
      </c>
      <c r="D48" s="35"/>
      <c r="E48" s="35">
        <v>43941</v>
      </c>
      <c r="F48" s="5"/>
      <c r="G48" s="49"/>
      <c r="H48" s="5">
        <v>13.93</v>
      </c>
      <c r="I48" s="102">
        <f>56/30*85</f>
        <v>158.66666666666666</v>
      </c>
      <c r="J48" s="5"/>
      <c r="K48" s="5"/>
      <c r="L48" s="6">
        <v>110</v>
      </c>
      <c r="M48" s="61">
        <v>56</v>
      </c>
      <c r="N48" s="6">
        <f t="shared" si="1"/>
        <v>37.799999999999997</v>
      </c>
    </row>
    <row r="49" spans="1:16">
      <c r="A49" s="22" t="s">
        <v>90</v>
      </c>
      <c r="B49" s="22"/>
      <c r="C49" s="35" t="s">
        <v>96</v>
      </c>
      <c r="D49" s="35"/>
      <c r="E49" s="35">
        <v>44015</v>
      </c>
      <c r="F49" s="5" t="s">
        <v>160</v>
      </c>
      <c r="G49" s="49">
        <v>12.5</v>
      </c>
      <c r="H49" s="5">
        <v>11.29</v>
      </c>
      <c r="I49" s="102">
        <f>100</f>
        <v>100</v>
      </c>
      <c r="J49" s="5"/>
      <c r="K49" s="5"/>
      <c r="L49" s="6">
        <v>105</v>
      </c>
      <c r="M49" s="61">
        <f>25+11+22</f>
        <v>58</v>
      </c>
      <c r="N49" s="6">
        <f>12.5+(92.5-M49)*0.7</f>
        <v>36.65</v>
      </c>
      <c r="P49" s="41"/>
    </row>
    <row r="50" spans="1:16">
      <c r="A50" s="22" t="s">
        <v>97</v>
      </c>
      <c r="B50" s="22"/>
      <c r="C50" s="35">
        <v>43990</v>
      </c>
      <c r="D50" s="35"/>
      <c r="E50" s="35">
        <v>44036</v>
      </c>
      <c r="F50" s="5"/>
      <c r="G50" s="49"/>
      <c r="H50" s="5">
        <v>8.75</v>
      </c>
      <c r="I50" s="102">
        <f>56/30*46</f>
        <v>85.866666666666674</v>
      </c>
      <c r="J50" s="5"/>
      <c r="K50" s="5"/>
      <c r="L50" s="6">
        <v>110</v>
      </c>
      <c r="M50" s="61">
        <f>45+11</f>
        <v>56</v>
      </c>
      <c r="N50" s="6">
        <f>(L50-M50)*0.7</f>
        <v>37.799999999999997</v>
      </c>
    </row>
    <row r="51" spans="1:16">
      <c r="A51" s="22" t="s">
        <v>95</v>
      </c>
      <c r="B51" s="22"/>
      <c r="C51" s="35">
        <v>44028</v>
      </c>
      <c r="D51" s="35"/>
      <c r="E51" s="35">
        <v>44040</v>
      </c>
      <c r="F51" s="5"/>
      <c r="G51" s="49"/>
      <c r="H51" s="5">
        <v>8.75</v>
      </c>
      <c r="I51" s="102">
        <f>41/30*12</f>
        <v>16.399999999999999</v>
      </c>
      <c r="J51" s="5"/>
      <c r="K51" s="5"/>
      <c r="L51" s="6">
        <v>60</v>
      </c>
      <c r="M51" s="61">
        <v>41</v>
      </c>
      <c r="N51" s="6">
        <f>(L51-M51)*0.7</f>
        <v>13.299999999999999</v>
      </c>
    </row>
    <row r="52" spans="1:16">
      <c r="A52" s="22" t="s">
        <v>94</v>
      </c>
      <c r="B52" s="22"/>
      <c r="C52" s="35">
        <v>44011</v>
      </c>
      <c r="D52" s="35"/>
      <c r="E52" s="35">
        <v>44084</v>
      </c>
      <c r="F52" s="5"/>
      <c r="G52" s="49"/>
      <c r="H52" s="5">
        <v>11.29</v>
      </c>
      <c r="I52" s="102">
        <f>25/30*71</f>
        <v>59.166666666666671</v>
      </c>
      <c r="J52" s="5"/>
      <c r="K52" s="5"/>
      <c r="L52" s="6">
        <v>40</v>
      </c>
      <c r="M52" s="61">
        <v>25</v>
      </c>
      <c r="N52" s="6">
        <f>(L52-M52)*0.7</f>
        <v>10.5</v>
      </c>
    </row>
    <row r="53" spans="1:16">
      <c r="A53" s="2" t="s">
        <v>99</v>
      </c>
      <c r="B53" s="2"/>
      <c r="C53" s="35">
        <v>44084</v>
      </c>
      <c r="D53" s="35"/>
      <c r="E53" s="35">
        <v>44105</v>
      </c>
      <c r="F53" s="5" t="s">
        <v>160</v>
      </c>
      <c r="G53" s="49">
        <v>5</v>
      </c>
      <c r="H53" s="5">
        <v>12.24</v>
      </c>
      <c r="I53" s="102">
        <f>25/30*20</f>
        <v>16.666666666666668</v>
      </c>
      <c r="J53" s="5"/>
      <c r="K53" s="5"/>
      <c r="L53" s="43">
        <v>40</v>
      </c>
      <c r="M53" s="61">
        <v>22</v>
      </c>
      <c r="N53" s="6">
        <f>5+13*0.7</f>
        <v>14.1</v>
      </c>
      <c r="P53" s="41"/>
    </row>
    <row r="54" spans="1:16">
      <c r="A54" s="2" t="s">
        <v>102</v>
      </c>
      <c r="B54" s="2"/>
      <c r="C54" s="4" t="s">
        <v>103</v>
      </c>
      <c r="D54" s="4"/>
      <c r="E54" s="4">
        <v>44110</v>
      </c>
      <c r="F54" s="5" t="s">
        <v>160</v>
      </c>
      <c r="G54" s="49">
        <v>10</v>
      </c>
      <c r="H54" s="5">
        <v>36.65</v>
      </c>
      <c r="I54" s="102">
        <f>115/30*26</f>
        <v>99.666666666666671</v>
      </c>
      <c r="J54" s="5"/>
      <c r="K54" s="5"/>
      <c r="L54" s="6">
        <v>180</v>
      </c>
      <c r="M54" s="61">
        <v>115</v>
      </c>
      <c r="N54" s="6">
        <f>10+55*0.7</f>
        <v>48.5</v>
      </c>
      <c r="P54" s="41"/>
    </row>
    <row r="55" spans="1:16">
      <c r="A55" s="2" t="s">
        <v>94</v>
      </c>
      <c r="B55" s="2"/>
      <c r="C55" s="35">
        <v>44124</v>
      </c>
      <c r="D55" s="35"/>
      <c r="E55" s="35">
        <v>44124</v>
      </c>
      <c r="F55" s="5"/>
      <c r="G55" s="49"/>
      <c r="H55" s="5">
        <v>7.25</v>
      </c>
      <c r="I55" s="102">
        <v>0</v>
      </c>
      <c r="J55" s="5"/>
      <c r="K55" s="5"/>
      <c r="L55" s="6">
        <v>25</v>
      </c>
      <c r="M55" s="61">
        <v>11</v>
      </c>
      <c r="N55" s="6">
        <f>(L55-M55)*0.7</f>
        <v>9.7999999999999989</v>
      </c>
    </row>
    <row r="56" spans="1:16">
      <c r="A56" s="2" t="s">
        <v>100</v>
      </c>
      <c r="B56" s="2"/>
      <c r="C56" s="4">
        <v>44018</v>
      </c>
      <c r="D56" s="4"/>
      <c r="E56" s="4">
        <v>44124</v>
      </c>
      <c r="F56" s="40"/>
      <c r="G56" s="2"/>
      <c r="H56" s="5">
        <v>9.5</v>
      </c>
      <c r="I56" s="102">
        <f>25/30*104</f>
        <v>86.666666666666671</v>
      </c>
      <c r="J56" s="5"/>
      <c r="K56" s="5"/>
      <c r="L56" s="6">
        <v>70</v>
      </c>
      <c r="M56" s="61">
        <v>25</v>
      </c>
      <c r="N56" s="6">
        <f>(L56-M56)*0.7</f>
        <v>31.499999999999996</v>
      </c>
    </row>
    <row r="57" spans="1:16">
      <c r="A57" s="2" t="s">
        <v>101</v>
      </c>
      <c r="B57" s="2"/>
      <c r="C57" s="4">
        <v>44070</v>
      </c>
      <c r="D57" s="4"/>
      <c r="E57" s="4">
        <v>44131</v>
      </c>
      <c r="F57" s="40"/>
      <c r="G57" s="2"/>
      <c r="H57" s="5">
        <v>13.93</v>
      </c>
      <c r="I57" s="102">
        <f>71/30*60</f>
        <v>142</v>
      </c>
      <c r="J57" s="5"/>
      <c r="K57" s="5"/>
      <c r="L57" s="6">
        <v>120</v>
      </c>
      <c r="M57" s="61">
        <f>60+11</f>
        <v>71</v>
      </c>
      <c r="N57" s="6">
        <f>(L57-M57)*0.7</f>
        <v>34.299999999999997</v>
      </c>
    </row>
    <row r="58" spans="1:16">
      <c r="A58" s="22" t="s">
        <v>104</v>
      </c>
      <c r="B58" s="22"/>
      <c r="C58" s="4">
        <v>44159</v>
      </c>
      <c r="D58" s="4"/>
      <c r="E58" s="4">
        <v>44187</v>
      </c>
      <c r="F58" s="40"/>
      <c r="G58" s="2"/>
      <c r="H58" s="5">
        <v>13.93</v>
      </c>
      <c r="I58" s="102">
        <f>36/30*28</f>
        <v>33.6</v>
      </c>
      <c r="J58" s="5"/>
      <c r="K58" s="5"/>
      <c r="L58" s="6">
        <v>110</v>
      </c>
      <c r="M58" s="61">
        <f>25+11</f>
        <v>36</v>
      </c>
      <c r="N58" s="6">
        <f>(L58-M58)*0.7</f>
        <v>51.8</v>
      </c>
    </row>
    <row r="59" spans="1:16">
      <c r="A59" s="22" t="s">
        <v>120</v>
      </c>
      <c r="B59" s="22"/>
      <c r="C59" s="4">
        <v>44169</v>
      </c>
      <c r="D59" s="4"/>
      <c r="E59" s="4">
        <v>44208</v>
      </c>
      <c r="F59" s="5" t="s">
        <v>160</v>
      </c>
      <c r="G59" s="49">
        <v>10</v>
      </c>
      <c r="H59" s="5"/>
      <c r="I59" s="102">
        <f>41/30*38</f>
        <v>51.933333333333337</v>
      </c>
      <c r="J59" s="5"/>
      <c r="K59" s="5"/>
      <c r="L59" s="6">
        <v>70</v>
      </c>
      <c r="M59" s="61">
        <v>45</v>
      </c>
      <c r="N59" s="5">
        <f>10+(60-45)*0.7</f>
        <v>20.5</v>
      </c>
      <c r="O59" s="1" t="s">
        <v>145</v>
      </c>
    </row>
    <row r="60" spans="1:16">
      <c r="A60" s="22" t="s">
        <v>108</v>
      </c>
      <c r="B60" s="22"/>
      <c r="C60" s="4">
        <v>44185</v>
      </c>
      <c r="D60" s="4"/>
      <c r="E60" s="4">
        <v>44242</v>
      </c>
      <c r="F60" s="5" t="s">
        <v>160</v>
      </c>
      <c r="G60" s="49">
        <v>20</v>
      </c>
      <c r="H60" s="5">
        <v>26.48</v>
      </c>
      <c r="I60" s="102">
        <f>50/30*55</f>
        <v>91.666666666666671</v>
      </c>
      <c r="J60" s="5">
        <v>160</v>
      </c>
      <c r="K60" s="5"/>
      <c r="L60" s="6">
        <v>190</v>
      </c>
      <c r="M60" s="61">
        <v>61</v>
      </c>
      <c r="N60" s="5">
        <f>(20+(170-61)*0.7)</f>
        <v>96.3</v>
      </c>
      <c r="O60" s="1" t="s">
        <v>145</v>
      </c>
    </row>
    <row r="61" spans="1:16">
      <c r="A61" s="22" t="s">
        <v>109</v>
      </c>
      <c r="B61" s="22"/>
      <c r="C61" s="4">
        <v>44209</v>
      </c>
      <c r="D61" s="4"/>
      <c r="E61" s="4">
        <v>44250</v>
      </c>
      <c r="F61" s="5" t="s">
        <v>160</v>
      </c>
      <c r="G61" s="49">
        <v>22.5</v>
      </c>
      <c r="H61" s="5">
        <v>22.83</v>
      </c>
      <c r="I61" s="102">
        <f>100/30*40</f>
        <v>133.33333333333334</v>
      </c>
      <c r="J61" s="5">
        <v>125</v>
      </c>
      <c r="K61" s="5"/>
      <c r="L61" s="6">
        <v>210</v>
      </c>
      <c r="M61" s="61">
        <v>100</v>
      </c>
      <c r="N61" s="6">
        <f>(22.5+87.5*0.7)</f>
        <v>83.75</v>
      </c>
    </row>
    <row r="62" spans="1:16">
      <c r="A62" s="2" t="s">
        <v>113</v>
      </c>
      <c r="B62" s="2"/>
      <c r="C62" s="4">
        <v>44245</v>
      </c>
      <c r="D62" s="4"/>
      <c r="E62" s="4">
        <v>44271</v>
      </c>
      <c r="F62" s="5" t="s">
        <v>160</v>
      </c>
      <c r="G62" s="49">
        <v>15</v>
      </c>
      <c r="H62" s="5">
        <v>26.76</v>
      </c>
      <c r="I62" s="102">
        <f>67/30*28</f>
        <v>62.533333333333331</v>
      </c>
      <c r="J62" s="5"/>
      <c r="K62" s="5"/>
      <c r="L62" s="6">
        <v>140</v>
      </c>
      <c r="M62" s="61">
        <v>67</v>
      </c>
      <c r="N62" s="6">
        <f>(15+0.7*58)</f>
        <v>55.599999999999994</v>
      </c>
    </row>
    <row r="63" spans="1:16">
      <c r="A63" s="2" t="s">
        <v>114</v>
      </c>
      <c r="B63" s="2"/>
      <c r="C63" s="4">
        <v>44222</v>
      </c>
      <c r="D63" s="4"/>
      <c r="E63" s="4">
        <v>44279</v>
      </c>
      <c r="F63" s="5" t="s">
        <v>160</v>
      </c>
      <c r="G63" s="49">
        <v>12.5</v>
      </c>
      <c r="H63" s="5">
        <v>13.4</v>
      </c>
      <c r="I63" s="102">
        <f>56/30*58</f>
        <v>108.26666666666667</v>
      </c>
      <c r="J63" s="5">
        <v>100</v>
      </c>
      <c r="K63" s="5"/>
      <c r="L63" s="6">
        <v>140</v>
      </c>
      <c r="M63" s="61">
        <v>56</v>
      </c>
      <c r="N63" s="5">
        <f>(12.5+71.5*0.7)</f>
        <v>62.55</v>
      </c>
      <c r="O63" s="1" t="s">
        <v>145</v>
      </c>
    </row>
    <row r="64" spans="1:16">
      <c r="A64" s="2" t="s">
        <v>112</v>
      </c>
      <c r="B64" s="2"/>
      <c r="C64" s="4">
        <v>44270</v>
      </c>
      <c r="D64" s="4"/>
      <c r="E64" s="4">
        <v>44286</v>
      </c>
      <c r="F64" s="5" t="s">
        <v>160</v>
      </c>
      <c r="G64" s="49">
        <v>17.5</v>
      </c>
      <c r="H64" s="5">
        <v>31.96</v>
      </c>
      <c r="I64" s="102">
        <f>55/30*16</f>
        <v>29.333333333333332</v>
      </c>
      <c r="J64" s="5">
        <v>75</v>
      </c>
      <c r="K64" s="5"/>
      <c r="L64" s="6">
        <v>100</v>
      </c>
      <c r="M64" s="61">
        <v>55</v>
      </c>
      <c r="N64" s="6">
        <f>(17.5+27.5*0.7)</f>
        <v>36.75</v>
      </c>
    </row>
    <row r="65" spans="1:16">
      <c r="A65" s="2" t="s">
        <v>119</v>
      </c>
      <c r="B65" s="2"/>
      <c r="C65" s="4">
        <v>44281</v>
      </c>
      <c r="D65" s="4"/>
      <c r="E65" s="4">
        <v>44316</v>
      </c>
      <c r="F65" s="40"/>
      <c r="G65" s="2"/>
      <c r="H65" s="5">
        <v>14.26</v>
      </c>
      <c r="I65" s="102">
        <f>45/30*34</f>
        <v>51</v>
      </c>
      <c r="J65" s="5"/>
      <c r="K65" s="5"/>
      <c r="L65" s="6">
        <v>110</v>
      </c>
      <c r="M65" s="61">
        <v>45</v>
      </c>
      <c r="N65" s="6">
        <f>(65*0.7)</f>
        <v>45.5</v>
      </c>
    </row>
    <row r="66" spans="1:16">
      <c r="A66" s="22" t="s">
        <v>121</v>
      </c>
      <c r="B66" s="22"/>
      <c r="C66" s="4">
        <v>44316</v>
      </c>
      <c r="D66" s="4"/>
      <c r="E66" s="4">
        <v>44354</v>
      </c>
      <c r="F66" s="40"/>
      <c r="G66" s="2"/>
      <c r="H66" s="5">
        <v>15.15</v>
      </c>
      <c r="I66" s="102">
        <f>36/30*37</f>
        <v>44.4</v>
      </c>
      <c r="J66" s="5"/>
      <c r="K66" s="5"/>
      <c r="L66" s="6">
        <v>110</v>
      </c>
      <c r="M66" s="61">
        <v>36</v>
      </c>
      <c r="N66" s="5">
        <f>(L66-M66)*0.7</f>
        <v>51.8</v>
      </c>
      <c r="O66" s="1" t="s">
        <v>145</v>
      </c>
    </row>
    <row r="67" spans="1:16">
      <c r="A67" s="22" t="s">
        <v>126</v>
      </c>
      <c r="B67" s="22"/>
      <c r="C67" s="4">
        <v>44336</v>
      </c>
      <c r="D67" s="4"/>
      <c r="E67" s="4">
        <v>44370</v>
      </c>
      <c r="F67" s="5" t="s">
        <v>161</v>
      </c>
      <c r="G67" s="49">
        <v>17.5</v>
      </c>
      <c r="H67" s="5">
        <v>35.78</v>
      </c>
      <c r="I67" s="102">
        <f>58/30*33</f>
        <v>63.8</v>
      </c>
      <c r="J67" s="5">
        <v>50</v>
      </c>
      <c r="K67" s="5"/>
      <c r="L67" s="6">
        <v>150</v>
      </c>
      <c r="M67" s="61">
        <v>58</v>
      </c>
      <c r="N67" s="6">
        <f>(17.5+74.5*0.7)</f>
        <v>69.650000000000006</v>
      </c>
    </row>
    <row r="68" spans="1:16">
      <c r="A68" s="44" t="s">
        <v>125</v>
      </c>
      <c r="B68" s="44"/>
      <c r="C68" s="4">
        <v>44342</v>
      </c>
      <c r="D68" s="4"/>
      <c r="E68" s="4">
        <v>44386</v>
      </c>
      <c r="F68" s="5" t="s">
        <v>160</v>
      </c>
      <c r="G68" s="49">
        <v>12.5</v>
      </c>
      <c r="H68" s="5">
        <v>15.46</v>
      </c>
      <c r="I68" s="102">
        <f>36/30*43</f>
        <v>51.6</v>
      </c>
      <c r="J68" s="5">
        <f>50+45</f>
        <v>95</v>
      </c>
      <c r="K68" s="5"/>
      <c r="L68" s="6">
        <v>80</v>
      </c>
      <c r="M68" s="61">
        <v>33</v>
      </c>
      <c r="N68" s="6">
        <f>12.5+(L68-M68-12.5)*0.7</f>
        <v>36.65</v>
      </c>
    </row>
    <row r="69" spans="1:16">
      <c r="A69" s="44" t="s">
        <v>129</v>
      </c>
      <c r="B69" s="44"/>
      <c r="C69" s="4">
        <v>44348</v>
      </c>
      <c r="D69" s="4"/>
      <c r="E69" s="4">
        <v>44389</v>
      </c>
      <c r="F69" s="5" t="s">
        <v>160</v>
      </c>
      <c r="G69" s="49">
        <v>12.5</v>
      </c>
      <c r="H69" s="5">
        <v>26.22</v>
      </c>
      <c r="I69" s="102">
        <f>71/30*42</f>
        <v>99.4</v>
      </c>
      <c r="J69" s="5">
        <f>50+45</f>
        <v>95</v>
      </c>
      <c r="K69" s="5"/>
      <c r="L69" s="6">
        <v>140</v>
      </c>
      <c r="M69" s="61">
        <v>71</v>
      </c>
      <c r="N69" s="6">
        <f>(12.5+(127.5-71)*0.7)</f>
        <v>52.05</v>
      </c>
    </row>
    <row r="70" spans="1:16">
      <c r="A70" s="44" t="s">
        <v>124</v>
      </c>
      <c r="B70" s="44"/>
      <c r="C70" s="4">
        <v>44348</v>
      </c>
      <c r="D70" s="4"/>
      <c r="E70" s="4">
        <v>44389</v>
      </c>
      <c r="F70" s="40"/>
      <c r="G70" s="2"/>
      <c r="H70" s="5">
        <v>11.62</v>
      </c>
      <c r="I70" s="102">
        <f>26/30*42</f>
        <v>36.4</v>
      </c>
      <c r="J70" s="5">
        <v>65</v>
      </c>
      <c r="K70" s="5"/>
      <c r="L70" s="6">
        <v>70</v>
      </c>
      <c r="M70" s="61">
        <v>26</v>
      </c>
      <c r="N70" s="6">
        <f>(70-26)*0.7</f>
        <v>30.799999999999997</v>
      </c>
    </row>
    <row r="71" spans="1:16">
      <c r="A71" s="44" t="s">
        <v>132</v>
      </c>
      <c r="B71" s="44"/>
      <c r="C71" s="4">
        <v>44407</v>
      </c>
      <c r="D71" s="4"/>
      <c r="E71" s="4">
        <v>44461</v>
      </c>
      <c r="F71" s="40"/>
      <c r="G71" s="2"/>
      <c r="H71" s="5">
        <v>9.8800000000000008</v>
      </c>
      <c r="I71" s="102">
        <f>25/30*52</f>
        <v>43.333333333333336</v>
      </c>
      <c r="J71" s="5"/>
      <c r="K71" s="5"/>
      <c r="L71" s="6">
        <v>40</v>
      </c>
      <c r="M71" s="61">
        <v>25</v>
      </c>
      <c r="N71" s="6">
        <f>(L71-M71)*0.7</f>
        <v>10.5</v>
      </c>
    </row>
    <row r="72" spans="1:16">
      <c r="A72" s="44" t="s">
        <v>133</v>
      </c>
      <c r="B72" s="44"/>
      <c r="C72" s="4">
        <v>44432</v>
      </c>
      <c r="D72" s="4"/>
      <c r="E72" s="4">
        <v>44467</v>
      </c>
      <c r="F72" s="40"/>
      <c r="G72" s="2"/>
      <c r="H72" s="5">
        <v>9.8800000000000008</v>
      </c>
      <c r="I72" s="102">
        <f>25/30*34</f>
        <v>28.333333333333336</v>
      </c>
      <c r="J72" s="5"/>
      <c r="K72" s="5"/>
      <c r="L72" s="6">
        <v>40</v>
      </c>
      <c r="M72" s="61">
        <v>25</v>
      </c>
      <c r="N72" s="6">
        <f>(L72-M72)*0.7</f>
        <v>10.5</v>
      </c>
    </row>
    <row r="73" spans="1:16">
      <c r="A73" s="52" t="s">
        <v>141</v>
      </c>
      <c r="B73" s="52"/>
      <c r="C73" s="57">
        <v>44459</v>
      </c>
      <c r="D73" s="57"/>
      <c r="E73" s="57">
        <v>44481</v>
      </c>
      <c r="F73" s="10" t="s">
        <v>161</v>
      </c>
      <c r="G73" s="12">
        <v>10</v>
      </c>
      <c r="H73" s="25">
        <v>15.15</v>
      </c>
      <c r="I73" s="103">
        <f>46/30*22</f>
        <v>33.733333333333334</v>
      </c>
      <c r="J73" s="25">
        <v>80</v>
      </c>
      <c r="K73" s="25"/>
      <c r="L73" s="27">
        <v>120</v>
      </c>
      <c r="M73" s="64">
        <v>46</v>
      </c>
      <c r="N73" s="27">
        <f>10+(120-56)*0.7</f>
        <v>54.8</v>
      </c>
    </row>
    <row r="74" spans="1:16">
      <c r="A74" s="52" t="s">
        <v>140</v>
      </c>
      <c r="B74" s="52"/>
      <c r="C74" s="57">
        <v>44449</v>
      </c>
      <c r="D74" s="57"/>
      <c r="E74" s="57">
        <v>44482</v>
      </c>
      <c r="F74" s="25" t="s">
        <v>160</v>
      </c>
      <c r="G74" s="58">
        <v>10</v>
      </c>
      <c r="H74" s="25">
        <v>13.4</v>
      </c>
      <c r="I74" s="103">
        <f>60/30*33</f>
        <v>66</v>
      </c>
      <c r="J74" s="25">
        <v>80</v>
      </c>
      <c r="K74" s="25"/>
      <c r="L74" s="27">
        <v>120</v>
      </c>
      <c r="M74" s="64">
        <v>61</v>
      </c>
      <c r="N74" s="27">
        <f>(10+49*0.7)</f>
        <v>44.3</v>
      </c>
    </row>
    <row r="75" spans="1:16">
      <c r="A75" s="44" t="s">
        <v>137</v>
      </c>
      <c r="B75" s="44"/>
      <c r="C75" s="35">
        <v>44474</v>
      </c>
      <c r="D75" s="35"/>
      <c r="E75" s="35">
        <v>44487</v>
      </c>
      <c r="F75" s="10" t="s">
        <v>161</v>
      </c>
      <c r="G75" s="12">
        <v>12.5</v>
      </c>
      <c r="H75" s="5">
        <v>15.15</v>
      </c>
      <c r="I75" s="102">
        <f>71/30*13</f>
        <v>30.766666666666666</v>
      </c>
      <c r="J75" s="5">
        <v>95</v>
      </c>
      <c r="K75" s="5"/>
      <c r="L75" s="6">
        <v>140</v>
      </c>
      <c r="M75" s="61">
        <v>71</v>
      </c>
      <c r="N75" s="6">
        <f>12.5+(56.5)*0.7</f>
        <v>52.05</v>
      </c>
    </row>
    <row r="76" spans="1:16">
      <c r="A76" s="44" t="s">
        <v>143</v>
      </c>
      <c r="B76" s="44"/>
      <c r="C76" s="35">
        <v>43717</v>
      </c>
      <c r="D76" s="35"/>
      <c r="E76" s="35">
        <v>44505</v>
      </c>
      <c r="F76" s="40"/>
      <c r="G76" s="49"/>
      <c r="H76" s="5">
        <v>13.4</v>
      </c>
      <c r="I76" s="102">
        <f>36*25+36/30*26</f>
        <v>931.2</v>
      </c>
      <c r="J76" s="5"/>
      <c r="K76" s="5"/>
      <c r="L76" s="6">
        <v>100</v>
      </c>
      <c r="M76" s="61">
        <v>36</v>
      </c>
      <c r="N76" s="6">
        <f>(100-36)*0.7</f>
        <v>44.8</v>
      </c>
    </row>
    <row r="77" spans="1:16">
      <c r="A77" s="44" t="s">
        <v>139</v>
      </c>
      <c r="B77" s="44"/>
      <c r="C77" s="35">
        <v>44492</v>
      </c>
      <c r="D77" s="35"/>
      <c r="E77" s="35">
        <v>44539</v>
      </c>
      <c r="F77" s="40"/>
      <c r="G77" s="49"/>
      <c r="H77" s="5">
        <v>16.350000000000001</v>
      </c>
      <c r="I77" s="102">
        <f>71/30*46</f>
        <v>108.86666666666667</v>
      </c>
      <c r="J77" s="5">
        <v>95</v>
      </c>
      <c r="K77" s="5"/>
      <c r="L77" s="6">
        <v>140</v>
      </c>
      <c r="M77" s="61">
        <v>71</v>
      </c>
      <c r="N77" s="12">
        <f>(140-71)*0.7</f>
        <v>48.3</v>
      </c>
      <c r="O77" s="72" t="s">
        <v>329</v>
      </c>
      <c r="P77" s="72">
        <v>33.81</v>
      </c>
    </row>
    <row r="78" spans="1:16">
      <c r="A78" s="44" t="s">
        <v>144</v>
      </c>
      <c r="B78" s="44"/>
      <c r="C78" s="35">
        <v>44526</v>
      </c>
      <c r="D78" s="35"/>
      <c r="E78" s="35">
        <v>44550</v>
      </c>
      <c r="F78" s="5" t="s">
        <v>160</v>
      </c>
      <c r="G78" s="49">
        <v>12.5</v>
      </c>
      <c r="H78" s="5">
        <v>13.4</v>
      </c>
      <c r="I78" s="102">
        <f>83/30*24</f>
        <v>66.400000000000006</v>
      </c>
      <c r="J78" s="5"/>
      <c r="K78" s="5"/>
      <c r="L78" s="6">
        <v>140</v>
      </c>
      <c r="M78" s="61">
        <v>94</v>
      </c>
      <c r="N78" s="6">
        <f>12.5+(140-12.5-94)*0.7</f>
        <v>35.950000000000003</v>
      </c>
    </row>
    <row r="79" spans="1:16">
      <c r="A79" s="44" t="s">
        <v>149</v>
      </c>
      <c r="B79" s="44"/>
      <c r="C79" s="35">
        <v>44880</v>
      </c>
      <c r="D79" s="35"/>
      <c r="E79" s="35">
        <v>44575</v>
      </c>
      <c r="F79" s="40"/>
      <c r="G79" s="49"/>
      <c r="H79" s="5">
        <v>13.4</v>
      </c>
      <c r="I79" s="102"/>
      <c r="J79" s="5">
        <v>50</v>
      </c>
      <c r="K79" s="5"/>
      <c r="L79" s="6">
        <v>160</v>
      </c>
      <c r="M79" s="61">
        <f>71+9</f>
        <v>80</v>
      </c>
      <c r="N79" s="6">
        <f>(160-80)*0.7</f>
        <v>56</v>
      </c>
    </row>
    <row r="80" spans="1:16">
      <c r="A80" s="44" t="s">
        <v>146</v>
      </c>
      <c r="B80" s="44"/>
      <c r="C80" s="4">
        <v>44586</v>
      </c>
      <c r="D80" s="4"/>
      <c r="E80" s="4">
        <v>44615</v>
      </c>
      <c r="F80" s="10" t="s">
        <v>161</v>
      </c>
      <c r="G80" s="12">
        <v>12.5</v>
      </c>
      <c r="H80" s="5">
        <v>15.46</v>
      </c>
      <c r="I80" s="102">
        <f>27/30*28</f>
        <v>25.2</v>
      </c>
      <c r="J80" s="5">
        <v>110</v>
      </c>
      <c r="K80" s="5"/>
      <c r="L80" s="6">
        <v>154</v>
      </c>
      <c r="M80" s="61">
        <v>62</v>
      </c>
      <c r="N80" s="6">
        <f>12.5+(154-12.5-62)*0.7</f>
        <v>68.150000000000006</v>
      </c>
    </row>
    <row r="81" spans="1:14">
      <c r="A81" s="44" t="s">
        <v>148</v>
      </c>
      <c r="B81" s="44"/>
      <c r="C81" s="4">
        <v>44579</v>
      </c>
      <c r="D81" s="4"/>
      <c r="E81" s="4">
        <v>44594</v>
      </c>
      <c r="F81" s="40"/>
      <c r="G81" s="49"/>
      <c r="H81" s="5">
        <v>13.4</v>
      </c>
      <c r="I81" s="102">
        <f>22/30*14</f>
        <v>10.266666666666666</v>
      </c>
      <c r="J81" s="5">
        <v>30</v>
      </c>
      <c r="K81" s="5"/>
      <c r="L81" s="6">
        <v>50</v>
      </c>
      <c r="M81" s="61">
        <v>22</v>
      </c>
      <c r="N81" s="6">
        <f>(50-22)*0.7</f>
        <v>19.599999999999998</v>
      </c>
    </row>
    <row r="82" spans="1:14">
      <c r="A82" s="44" t="s">
        <v>150</v>
      </c>
      <c r="B82" s="44"/>
      <c r="C82" s="4">
        <v>44899</v>
      </c>
      <c r="D82" s="4"/>
      <c r="E82" s="4">
        <v>44607</v>
      </c>
      <c r="F82" s="12" t="s">
        <v>160</v>
      </c>
      <c r="G82" s="12">
        <v>12.5</v>
      </c>
      <c r="H82" s="5">
        <v>13.4</v>
      </c>
      <c r="I82" s="102">
        <f>71/30*61</f>
        <v>144.36666666666667</v>
      </c>
      <c r="J82" s="5">
        <v>80</v>
      </c>
      <c r="K82" s="5"/>
      <c r="L82" s="6">
        <v>120</v>
      </c>
      <c r="M82" s="61">
        <v>60</v>
      </c>
      <c r="N82" s="6">
        <f>12.5+(120-72.5)*0.7</f>
        <v>45.75</v>
      </c>
    </row>
    <row r="83" spans="1:14">
      <c r="A83" s="44" t="s">
        <v>151</v>
      </c>
      <c r="B83" s="44"/>
      <c r="C83" s="4">
        <v>44926</v>
      </c>
      <c r="D83" s="4"/>
      <c r="E83" s="4">
        <v>44649</v>
      </c>
      <c r="F83" s="40"/>
      <c r="G83" s="40"/>
      <c r="H83" s="5">
        <v>9.0299999999999994</v>
      </c>
      <c r="I83" s="102">
        <f>25*2+25/30*29</f>
        <v>74.166666666666671</v>
      </c>
      <c r="J83" s="5">
        <v>80</v>
      </c>
      <c r="K83" s="5"/>
      <c r="L83" s="6">
        <v>67.5</v>
      </c>
      <c r="M83" s="61">
        <v>25</v>
      </c>
      <c r="N83" s="6">
        <f>(67.5-25)*0.7</f>
        <v>29.749999999999996</v>
      </c>
    </row>
    <row r="84" spans="1:14">
      <c r="A84" s="44" t="s">
        <v>152</v>
      </c>
      <c r="B84" s="44"/>
      <c r="C84" s="4">
        <v>44852</v>
      </c>
      <c r="D84" s="4"/>
      <c r="E84" s="4">
        <v>44649</v>
      </c>
      <c r="F84" s="40"/>
      <c r="G84" s="40"/>
      <c r="H84" s="5">
        <v>9.0299999999999994</v>
      </c>
      <c r="I84" s="102">
        <f>45*4+45/30*13</f>
        <v>199.5</v>
      </c>
      <c r="J84" s="5">
        <v>80</v>
      </c>
      <c r="K84" s="5"/>
      <c r="L84" s="6">
        <v>67.5</v>
      </c>
      <c r="M84" s="61">
        <v>45</v>
      </c>
      <c r="N84" s="6">
        <f>(L84-M84)*0.7</f>
        <v>15.749999999999998</v>
      </c>
    </row>
    <row r="85" spans="1:14">
      <c r="A85" s="44" t="s">
        <v>153</v>
      </c>
      <c r="B85" s="44"/>
      <c r="C85" s="4">
        <v>44623</v>
      </c>
      <c r="D85" s="4"/>
      <c r="E85" s="4">
        <v>44623</v>
      </c>
      <c r="F85" s="40"/>
      <c r="G85" s="40"/>
      <c r="H85" s="5">
        <v>11.03</v>
      </c>
      <c r="I85" s="102">
        <v>0</v>
      </c>
      <c r="J85" s="5">
        <v>15</v>
      </c>
      <c r="K85" s="5"/>
      <c r="L85" s="6">
        <v>30</v>
      </c>
      <c r="M85" s="61">
        <v>12</v>
      </c>
      <c r="N85" s="6">
        <f>(L85-M85)*0.7</f>
        <v>12.6</v>
      </c>
    </row>
    <row r="86" spans="1:14">
      <c r="A86" s="44" t="s">
        <v>154</v>
      </c>
      <c r="B86" s="44"/>
      <c r="C86" s="4">
        <v>44881</v>
      </c>
      <c r="D86" s="4"/>
      <c r="E86" s="4">
        <v>44628</v>
      </c>
      <c r="F86" s="40"/>
      <c r="G86" s="40"/>
      <c r="H86" s="5">
        <v>9.0299999999999994</v>
      </c>
      <c r="I86" s="102">
        <f>65*3+65/30*22</f>
        <v>242.66666666666666</v>
      </c>
      <c r="J86" s="5">
        <v>95</v>
      </c>
      <c r="K86" s="5"/>
      <c r="L86" s="6">
        <v>112</v>
      </c>
      <c r="M86" s="61">
        <v>65</v>
      </c>
      <c r="N86" s="6">
        <f>(L86-M86)*0.7</f>
        <v>32.9</v>
      </c>
    </row>
    <row r="87" spans="1:14">
      <c r="A87" s="44" t="s">
        <v>155</v>
      </c>
      <c r="B87" s="44"/>
      <c r="C87" s="4">
        <v>44490</v>
      </c>
      <c r="D87" s="4"/>
      <c r="E87" s="4">
        <v>44648</v>
      </c>
      <c r="F87" s="40"/>
      <c r="G87" s="40"/>
      <c r="H87" s="5">
        <v>13.4</v>
      </c>
      <c r="I87" s="102">
        <f>45*5+45/30*7</f>
        <v>235.5</v>
      </c>
      <c r="J87" s="5">
        <v>80</v>
      </c>
      <c r="K87" s="5"/>
      <c r="L87" s="6">
        <v>67.5</v>
      </c>
      <c r="M87" s="61">
        <v>45</v>
      </c>
      <c r="N87" s="6">
        <f>(L87-M87)*0.7</f>
        <v>15.749999999999998</v>
      </c>
    </row>
    <row r="88" spans="1:14">
      <c r="A88" s="44" t="s">
        <v>156</v>
      </c>
      <c r="B88" s="44"/>
      <c r="C88" s="4">
        <v>44489</v>
      </c>
      <c r="D88" s="4"/>
      <c r="E88" s="4">
        <v>44651</v>
      </c>
      <c r="F88" s="40"/>
      <c r="G88" s="40"/>
      <c r="H88" s="5">
        <v>15.46</v>
      </c>
      <c r="I88" s="102">
        <f>50*5+50/10</f>
        <v>255</v>
      </c>
      <c r="J88" s="5">
        <v>145</v>
      </c>
      <c r="K88" s="5"/>
      <c r="L88" s="6">
        <v>125</v>
      </c>
      <c r="M88" s="61">
        <v>50</v>
      </c>
      <c r="N88" s="6">
        <f>(L88-M88)*0.7</f>
        <v>52.5</v>
      </c>
    </row>
    <row r="89" spans="1:14">
      <c r="A89" s="44" t="s">
        <v>157</v>
      </c>
      <c r="B89" s="44"/>
      <c r="C89" s="4">
        <v>44627</v>
      </c>
      <c r="D89" s="4"/>
      <c r="E89" s="4">
        <v>44627</v>
      </c>
      <c r="F89" s="10" t="s">
        <v>161</v>
      </c>
      <c r="G89" s="12">
        <v>10</v>
      </c>
      <c r="H89" s="5">
        <v>15.46</v>
      </c>
      <c r="I89" s="102">
        <v>0</v>
      </c>
      <c r="J89" s="5">
        <v>0</v>
      </c>
      <c r="K89" s="5"/>
      <c r="L89" s="6">
        <v>100</v>
      </c>
      <c r="M89" s="61">
        <v>44</v>
      </c>
      <c r="N89" s="6">
        <f>10+(46)*0.7</f>
        <v>42.199999999999996</v>
      </c>
    </row>
    <row r="90" spans="1:14">
      <c r="A90" s="44" t="s">
        <v>158</v>
      </c>
      <c r="B90" s="44"/>
      <c r="C90" s="4">
        <v>44627</v>
      </c>
      <c r="D90" s="4"/>
      <c r="E90" s="4">
        <v>44627</v>
      </c>
      <c r="F90" s="10" t="s">
        <v>161</v>
      </c>
      <c r="G90" s="12">
        <v>12.5</v>
      </c>
      <c r="H90" s="5">
        <v>15.46</v>
      </c>
      <c r="I90" s="102">
        <v>0</v>
      </c>
      <c r="J90" s="5">
        <v>0</v>
      </c>
      <c r="K90" s="5"/>
      <c r="L90" s="6">
        <v>125</v>
      </c>
      <c r="M90" s="61">
        <v>55</v>
      </c>
      <c r="N90" s="6">
        <f>12.5+(57.5)*0.7</f>
        <v>52.75</v>
      </c>
    </row>
    <row r="91" spans="1:14">
      <c r="A91" s="44" t="s">
        <v>168</v>
      </c>
      <c r="B91" s="44"/>
      <c r="C91" s="4">
        <v>44636</v>
      </c>
      <c r="D91" s="4"/>
      <c r="E91" s="4">
        <v>44659</v>
      </c>
      <c r="F91" s="40"/>
      <c r="G91" s="5"/>
      <c r="H91" s="5">
        <v>13.72</v>
      </c>
      <c r="I91" s="102">
        <f>55/30*24</f>
        <v>44</v>
      </c>
      <c r="J91" s="5">
        <v>80</v>
      </c>
      <c r="K91" s="5"/>
      <c r="L91" s="6">
        <v>120</v>
      </c>
      <c r="M91" s="61">
        <v>55</v>
      </c>
      <c r="N91" s="6">
        <f>10+(110-M91)*0.7</f>
        <v>48.5</v>
      </c>
    </row>
    <row r="92" spans="1:14">
      <c r="A92" s="44" t="s">
        <v>171</v>
      </c>
      <c r="B92" s="44"/>
      <c r="C92" s="4">
        <v>44648</v>
      </c>
      <c r="D92" s="4"/>
      <c r="E92" s="4">
        <v>44734</v>
      </c>
      <c r="F92" s="40"/>
      <c r="G92" s="5"/>
      <c r="H92" s="5">
        <v>13.72</v>
      </c>
      <c r="I92" s="102">
        <f>56/30*84</f>
        <v>156.80000000000001</v>
      </c>
      <c r="J92" s="5">
        <v>95</v>
      </c>
      <c r="K92" s="5"/>
      <c r="L92" s="6">
        <v>140</v>
      </c>
      <c r="M92" s="61">
        <v>56</v>
      </c>
      <c r="N92" s="6">
        <f>(140-56)*0.7</f>
        <v>58.8</v>
      </c>
    </row>
    <row r="93" spans="1:14">
      <c r="A93" s="44" t="s">
        <v>172</v>
      </c>
      <c r="B93" s="44"/>
      <c r="C93" s="4">
        <v>44705</v>
      </c>
      <c r="D93" s="4"/>
      <c r="E93" s="4">
        <v>44715</v>
      </c>
      <c r="F93" s="40"/>
      <c r="G93" s="5"/>
      <c r="H93" s="5">
        <v>10.039999999999999</v>
      </c>
      <c r="I93" s="102">
        <f>25/30*9</f>
        <v>7.5</v>
      </c>
      <c r="J93" s="5"/>
      <c r="K93" s="5"/>
      <c r="L93" s="6">
        <v>50</v>
      </c>
      <c r="M93" s="61">
        <v>25</v>
      </c>
      <c r="N93" s="6">
        <f>(50-25)*0.7</f>
        <v>17.5</v>
      </c>
    </row>
    <row r="94" spans="1:14">
      <c r="A94" s="44" t="s">
        <v>173</v>
      </c>
      <c r="B94" s="44"/>
      <c r="C94" s="4">
        <v>44704</v>
      </c>
      <c r="D94" s="4"/>
      <c r="E94" s="4">
        <v>44721</v>
      </c>
      <c r="F94" s="10" t="s">
        <v>161</v>
      </c>
      <c r="G94" s="56">
        <v>12.5</v>
      </c>
      <c r="H94" s="5">
        <v>13.72</v>
      </c>
      <c r="I94" s="102">
        <f>37/30*16</f>
        <v>19.733333333333334</v>
      </c>
      <c r="J94" s="5">
        <f>50+45</f>
        <v>95</v>
      </c>
      <c r="K94" s="5"/>
      <c r="L94" s="6">
        <v>110</v>
      </c>
      <c r="M94" s="61">
        <v>37</v>
      </c>
      <c r="N94" s="56">
        <f>12.5+(97.5-37)*0.7</f>
        <v>54.849999999999994</v>
      </c>
    </row>
    <row r="95" spans="1:14">
      <c r="A95" s="44" t="s">
        <v>174</v>
      </c>
      <c r="B95" s="44"/>
      <c r="C95" s="4">
        <v>44715</v>
      </c>
      <c r="D95" s="4"/>
      <c r="E95" s="4">
        <v>44820</v>
      </c>
      <c r="F95" s="10" t="s">
        <v>161</v>
      </c>
      <c r="G95" s="56">
        <v>15</v>
      </c>
      <c r="H95" s="5">
        <v>14.6</v>
      </c>
      <c r="I95" s="102">
        <f>56/30*103</f>
        <v>192.26666666666668</v>
      </c>
      <c r="J95" s="5">
        <v>50</v>
      </c>
      <c r="K95" s="5"/>
      <c r="L95" s="6">
        <f>130</f>
        <v>130</v>
      </c>
      <c r="M95" s="61">
        <v>56</v>
      </c>
      <c r="N95" s="56">
        <f>15+(115-56)*0.7</f>
        <v>56.3</v>
      </c>
    </row>
    <row r="96" spans="1:14">
      <c r="A96" s="44" t="s">
        <v>183</v>
      </c>
      <c r="B96" s="44"/>
      <c r="C96" s="4">
        <v>44749</v>
      </c>
      <c r="D96" s="4">
        <v>44830</v>
      </c>
      <c r="E96" s="4">
        <v>44858</v>
      </c>
      <c r="F96" s="40"/>
      <c r="G96" s="5"/>
      <c r="H96" s="5">
        <v>11.03</v>
      </c>
      <c r="I96" s="102">
        <v>25</v>
      </c>
      <c r="J96" s="5">
        <v>15</v>
      </c>
      <c r="K96" s="5"/>
      <c r="L96" s="6">
        <v>80</v>
      </c>
      <c r="M96" s="61">
        <v>25</v>
      </c>
      <c r="N96" s="6">
        <f>55*0.7</f>
        <v>38.5</v>
      </c>
    </row>
    <row r="97" spans="1:14">
      <c r="A97" s="44" t="s">
        <v>184</v>
      </c>
      <c r="B97" s="44"/>
      <c r="C97" s="4">
        <v>44775</v>
      </c>
      <c r="D97" s="4">
        <v>44810</v>
      </c>
      <c r="E97" s="4">
        <v>44848</v>
      </c>
      <c r="F97" s="40"/>
      <c r="G97" s="5"/>
      <c r="H97" s="5">
        <v>23.38</v>
      </c>
      <c r="I97" s="102">
        <f>100/30*38</f>
        <v>126.66666666666667</v>
      </c>
      <c r="J97" s="5">
        <v>155</v>
      </c>
      <c r="K97" s="5"/>
      <c r="L97" s="6">
        <v>220</v>
      </c>
      <c r="M97" s="61">
        <v>100</v>
      </c>
      <c r="N97" s="6">
        <v>90.75</v>
      </c>
    </row>
    <row r="98" spans="1:14">
      <c r="A98" s="44" t="s">
        <v>185</v>
      </c>
      <c r="B98" s="44"/>
      <c r="C98" s="4">
        <v>44830</v>
      </c>
      <c r="D98" s="4">
        <v>44852</v>
      </c>
      <c r="E98" s="4">
        <v>44858</v>
      </c>
      <c r="F98" s="10" t="s">
        <v>161</v>
      </c>
      <c r="G98" s="12">
        <v>15</v>
      </c>
      <c r="H98" s="5">
        <v>23.38</v>
      </c>
      <c r="I98" s="102">
        <f>54.5/30*6</f>
        <v>10.9</v>
      </c>
      <c r="J98" s="5">
        <v>95</v>
      </c>
      <c r="K98" s="5"/>
      <c r="L98" s="6">
        <v>160</v>
      </c>
      <c r="M98" s="61">
        <v>64.5</v>
      </c>
      <c r="N98" s="6">
        <f>15+(145-64.5)*0.7</f>
        <v>71.349999999999994</v>
      </c>
    </row>
    <row r="99" spans="1:14">
      <c r="A99" s="44" t="s">
        <v>190</v>
      </c>
      <c r="B99" s="44"/>
      <c r="C99" s="4"/>
      <c r="D99" s="4">
        <v>44879</v>
      </c>
      <c r="E99" s="35">
        <v>44887</v>
      </c>
      <c r="F99" s="44" t="s">
        <v>161</v>
      </c>
      <c r="G99" s="56">
        <v>10</v>
      </c>
      <c r="H99" s="5">
        <v>14.6</v>
      </c>
      <c r="I99" s="102">
        <f>34/30*8</f>
        <v>9.0666666666666664</v>
      </c>
      <c r="J99" s="5">
        <v>45</v>
      </c>
      <c r="K99" s="5"/>
      <c r="L99" s="6">
        <v>90</v>
      </c>
      <c r="M99" s="61">
        <v>34</v>
      </c>
      <c r="N99" s="56">
        <f>10+(80-34)*0.7</f>
        <v>42.199999999999996</v>
      </c>
    </row>
    <row r="100" spans="1:14">
      <c r="A100" s="44" t="s">
        <v>193</v>
      </c>
      <c r="B100" s="44"/>
      <c r="C100" s="4">
        <v>44872</v>
      </c>
      <c r="D100" s="4">
        <v>44879</v>
      </c>
      <c r="E100" s="35">
        <v>44882</v>
      </c>
      <c r="F100" s="40"/>
      <c r="G100" s="5"/>
      <c r="H100" s="5">
        <v>10.039999999999999</v>
      </c>
      <c r="I100" s="102">
        <f>25/30*3</f>
        <v>2.5</v>
      </c>
      <c r="J100" s="5"/>
      <c r="K100" s="5"/>
      <c r="L100" s="6">
        <v>40</v>
      </c>
      <c r="M100" s="61">
        <v>25</v>
      </c>
      <c r="N100" s="6">
        <f>(L100-M100)*0.7</f>
        <v>10.5</v>
      </c>
    </row>
    <row r="101" spans="1:14">
      <c r="A101" s="44" t="s">
        <v>213</v>
      </c>
      <c r="B101" s="44"/>
      <c r="C101" s="4">
        <v>44894</v>
      </c>
      <c r="D101" s="4">
        <v>44908</v>
      </c>
      <c r="E101" s="35">
        <v>44944</v>
      </c>
      <c r="F101" s="40" t="s">
        <v>161</v>
      </c>
      <c r="G101" s="5">
        <v>15</v>
      </c>
      <c r="H101" s="5">
        <v>31.72</v>
      </c>
      <c r="I101" s="102">
        <f>50/30*35</f>
        <v>58.333333333333336</v>
      </c>
      <c r="J101" s="5">
        <f>60+50</f>
        <v>110</v>
      </c>
      <c r="K101" s="5"/>
      <c r="L101" s="6">
        <v>130</v>
      </c>
      <c r="M101" s="61">
        <f>19+2+3.5*2+11*2</f>
        <v>50</v>
      </c>
      <c r="N101" s="94">
        <f>15+(L101-M101-15)*0.7</f>
        <v>60.5</v>
      </c>
    </row>
    <row r="102" spans="1:14">
      <c r="A102" s="44" t="s">
        <v>227</v>
      </c>
      <c r="B102" s="44"/>
      <c r="C102" s="4">
        <v>44949</v>
      </c>
      <c r="D102" s="4">
        <v>44953</v>
      </c>
      <c r="E102" s="35">
        <v>44966</v>
      </c>
      <c r="F102" s="40" t="s">
        <v>160</v>
      </c>
      <c r="G102" s="5">
        <v>15</v>
      </c>
      <c r="H102" s="5">
        <v>16.38</v>
      </c>
      <c r="I102" s="102">
        <f>61.5/30*12</f>
        <v>24.599999999999998</v>
      </c>
      <c r="J102" s="5">
        <f>50+60</f>
        <v>110</v>
      </c>
      <c r="K102" s="5"/>
      <c r="L102" s="6">
        <v>160</v>
      </c>
      <c r="M102" s="65">
        <f>32.5+7+22</f>
        <v>61.5</v>
      </c>
      <c r="N102" s="59">
        <f>15+(L102-M102-15)*0.7</f>
        <v>73.449999999999989</v>
      </c>
    </row>
    <row r="103" spans="1:14">
      <c r="A103" s="44" t="s">
        <v>228</v>
      </c>
      <c r="B103" s="44"/>
      <c r="C103" s="4">
        <v>44957</v>
      </c>
      <c r="D103" s="4">
        <v>44957</v>
      </c>
      <c r="E103" s="35">
        <v>44977</v>
      </c>
      <c r="F103" s="40"/>
      <c r="G103" s="5"/>
      <c r="H103" s="5">
        <v>20.61</v>
      </c>
      <c r="I103" s="102">
        <f>66/30*20</f>
        <v>44</v>
      </c>
      <c r="J103" s="5">
        <v>90</v>
      </c>
      <c r="K103" s="5"/>
      <c r="L103" s="6">
        <v>155</v>
      </c>
      <c r="M103" s="65">
        <v>54</v>
      </c>
      <c r="N103" s="59">
        <f>(L103-M103)*0.7</f>
        <v>70.699999999999989</v>
      </c>
    </row>
    <row r="104" spans="1:14">
      <c r="A104" s="44" t="s">
        <v>255</v>
      </c>
      <c r="B104" s="44"/>
      <c r="C104" s="35">
        <v>44691</v>
      </c>
      <c r="D104" s="35">
        <v>44994</v>
      </c>
      <c r="E104" s="4">
        <v>44994</v>
      </c>
      <c r="F104" s="40"/>
      <c r="G104" s="40"/>
      <c r="H104" s="5">
        <v>11.03</v>
      </c>
      <c r="I104" s="102">
        <f>25*14</f>
        <v>350</v>
      </c>
      <c r="J104" s="40">
        <f>30+50</f>
        <v>80</v>
      </c>
      <c r="K104" s="40"/>
      <c r="L104" s="6">
        <v>90</v>
      </c>
      <c r="M104" s="6">
        <v>25</v>
      </c>
      <c r="N104" s="59">
        <v>48.5</v>
      </c>
    </row>
    <row r="105" spans="1:14">
      <c r="A105" s="44" t="s">
        <v>187</v>
      </c>
      <c r="B105" s="44"/>
      <c r="C105" s="35"/>
      <c r="D105" s="35">
        <v>44991</v>
      </c>
      <c r="E105" s="4">
        <v>44991</v>
      </c>
      <c r="F105" s="40"/>
      <c r="G105" s="40"/>
      <c r="H105" s="5">
        <v>13.31</v>
      </c>
      <c r="I105" s="102"/>
      <c r="J105" s="40">
        <v>45</v>
      </c>
      <c r="K105" s="40"/>
      <c r="L105" s="6">
        <v>80</v>
      </c>
      <c r="M105" s="6">
        <v>27</v>
      </c>
      <c r="N105" s="59">
        <f>(L105-M105)*0.7</f>
        <v>37.099999999999994</v>
      </c>
    </row>
    <row r="106" spans="1:14">
      <c r="A106" s="76" t="s">
        <v>276</v>
      </c>
      <c r="B106" s="44"/>
      <c r="C106" s="35">
        <v>45061</v>
      </c>
      <c r="D106" s="35">
        <v>45070</v>
      </c>
      <c r="E106" s="4"/>
      <c r="F106" s="40"/>
      <c r="G106" s="40"/>
      <c r="H106" s="5">
        <v>11.48</v>
      </c>
      <c r="I106" s="102">
        <f>21/30*9</f>
        <v>6.3</v>
      </c>
      <c r="J106" s="40"/>
      <c r="K106" s="40"/>
      <c r="L106" s="17">
        <f>50</f>
        <v>50</v>
      </c>
      <c r="M106" s="18">
        <v>21</v>
      </c>
      <c r="N106" s="70">
        <f>(50-21)*0.7</f>
        <v>20.299999999999997</v>
      </c>
    </row>
    <row r="107" spans="1:14">
      <c r="A107" s="76" t="s">
        <v>279</v>
      </c>
      <c r="B107" s="44"/>
      <c r="C107" s="35">
        <v>45065</v>
      </c>
      <c r="D107" s="35">
        <v>45070</v>
      </c>
      <c r="E107" s="4"/>
      <c r="F107" s="40"/>
      <c r="G107" s="40"/>
      <c r="H107" s="5">
        <v>11.48</v>
      </c>
      <c r="I107" s="102">
        <f>21/30*5</f>
        <v>3.5</v>
      </c>
      <c r="J107" s="40"/>
      <c r="K107" s="40"/>
      <c r="L107" s="17">
        <f>50</f>
        <v>50</v>
      </c>
      <c r="M107" s="18">
        <v>21</v>
      </c>
      <c r="N107" s="70">
        <f>(50-21)*0.7</f>
        <v>20.299999999999997</v>
      </c>
    </row>
    <row r="108" spans="1:14">
      <c r="A108" s="76" t="s">
        <v>278</v>
      </c>
      <c r="B108" s="52"/>
      <c r="C108" s="57">
        <v>44973</v>
      </c>
      <c r="D108" s="57">
        <v>45070</v>
      </c>
      <c r="E108" s="24"/>
      <c r="F108" s="48"/>
      <c r="G108" s="48"/>
      <c r="H108" s="25">
        <v>11.48</v>
      </c>
      <c r="I108" s="103">
        <f>21/30*98</f>
        <v>68.599999999999994</v>
      </c>
      <c r="J108" s="48"/>
      <c r="K108" s="48"/>
      <c r="L108" s="17">
        <v>50</v>
      </c>
      <c r="M108" s="26">
        <v>21</v>
      </c>
      <c r="N108" s="85">
        <f>(50-21)*0.7</f>
        <v>20.299999999999997</v>
      </c>
    </row>
    <row r="109" spans="1:14">
      <c r="A109" s="44" t="s">
        <v>289</v>
      </c>
      <c r="B109" s="44"/>
      <c r="C109" s="35">
        <v>45110</v>
      </c>
      <c r="D109" s="35">
        <v>45127</v>
      </c>
      <c r="E109" s="4">
        <v>45110</v>
      </c>
      <c r="F109" s="40"/>
      <c r="G109" s="40"/>
      <c r="H109" s="5">
        <v>13.31</v>
      </c>
      <c r="I109" s="102">
        <f>27/30*17</f>
        <v>15.3</v>
      </c>
      <c r="J109" s="40">
        <v>45</v>
      </c>
      <c r="K109" s="40"/>
      <c r="L109" s="6">
        <v>75</v>
      </c>
      <c r="M109" s="6">
        <v>27</v>
      </c>
      <c r="N109" s="59">
        <f>(L109-M109)*0.7</f>
        <v>33.599999999999994</v>
      </c>
    </row>
    <row r="110" spans="1:14">
      <c r="A110" s="44" t="s">
        <v>292</v>
      </c>
      <c r="B110" s="44"/>
      <c r="C110" s="35">
        <v>45138</v>
      </c>
      <c r="D110" s="35">
        <v>45139</v>
      </c>
      <c r="E110" s="35">
        <v>45162</v>
      </c>
      <c r="F110" s="40"/>
      <c r="G110" s="40"/>
      <c r="H110" s="5">
        <v>12.48</v>
      </c>
      <c r="I110" s="102">
        <f>27/30*23</f>
        <v>20.7</v>
      </c>
      <c r="J110" s="40">
        <v>45</v>
      </c>
      <c r="K110" s="40"/>
      <c r="L110" s="6">
        <v>90</v>
      </c>
      <c r="M110" s="6">
        <v>27</v>
      </c>
      <c r="N110" s="59">
        <f>(L110-M110)*0.7</f>
        <v>44.099999999999994</v>
      </c>
    </row>
    <row r="111" spans="1:14">
      <c r="A111" s="44" t="s">
        <v>293</v>
      </c>
      <c r="B111" s="44"/>
      <c r="C111" s="35">
        <v>45086</v>
      </c>
      <c r="D111" s="35">
        <v>45089</v>
      </c>
      <c r="E111" s="4">
        <v>45103</v>
      </c>
      <c r="F111" s="40"/>
      <c r="G111" s="40"/>
      <c r="H111" s="5">
        <v>11.03</v>
      </c>
      <c r="I111" s="102">
        <f>21/30*14</f>
        <v>9.7999999999999989</v>
      </c>
      <c r="J111" s="40"/>
      <c r="K111" s="40"/>
      <c r="L111" s="6">
        <v>50</v>
      </c>
      <c r="M111" s="6">
        <v>21</v>
      </c>
      <c r="N111" s="59">
        <f>(L111-M111)*0.7</f>
        <v>20.299999999999997</v>
      </c>
    </row>
    <row r="112" spans="1:14">
      <c r="A112" s="44" t="s">
        <v>295</v>
      </c>
      <c r="B112" s="44"/>
      <c r="C112" s="35">
        <v>45228</v>
      </c>
      <c r="D112" s="35">
        <v>45203</v>
      </c>
      <c r="E112" s="4"/>
      <c r="F112" s="40"/>
      <c r="G112" s="40"/>
      <c r="H112" s="5">
        <v>13.31</v>
      </c>
      <c r="I112" s="102">
        <f>27/30*5</f>
        <v>4.5</v>
      </c>
      <c r="J112" s="40">
        <v>45</v>
      </c>
      <c r="K112" s="40"/>
      <c r="L112" s="6">
        <v>80</v>
      </c>
      <c r="M112" s="6">
        <v>27</v>
      </c>
      <c r="N112" s="59">
        <f>(L112-M112)*0.7</f>
        <v>37.099999999999994</v>
      </c>
    </row>
    <row r="113" spans="1:16">
      <c r="A113" s="44" t="s">
        <v>320</v>
      </c>
      <c r="B113" s="44"/>
      <c r="C113" s="35">
        <v>45177</v>
      </c>
      <c r="D113" s="35">
        <v>45196</v>
      </c>
      <c r="E113" s="4"/>
      <c r="F113" s="40"/>
      <c r="G113" s="40"/>
      <c r="H113" s="5">
        <v>10.44</v>
      </c>
      <c r="I113" s="102">
        <f>38/30*21</f>
        <v>26.599999999999998</v>
      </c>
      <c r="J113" s="40"/>
      <c r="K113" s="40"/>
      <c r="L113" s="6">
        <v>69</v>
      </c>
      <c r="M113" s="6">
        <v>38</v>
      </c>
      <c r="N113" s="59">
        <f>(69-38)*0.7</f>
        <v>21.7</v>
      </c>
    </row>
    <row r="114" spans="1:16">
      <c r="A114" s="44" t="s">
        <v>325</v>
      </c>
      <c r="B114" s="44"/>
      <c r="C114" s="35"/>
      <c r="D114" s="35">
        <v>45223</v>
      </c>
      <c r="E114" s="4">
        <v>45239</v>
      </c>
      <c r="F114" s="40"/>
      <c r="G114" s="40"/>
      <c r="H114" s="5">
        <v>40</v>
      </c>
      <c r="I114" s="102">
        <f>43/30*15</f>
        <v>21.5</v>
      </c>
      <c r="J114" s="40"/>
      <c r="K114" s="40"/>
      <c r="L114" s="6">
        <v>69</v>
      </c>
      <c r="M114" s="6">
        <v>43</v>
      </c>
      <c r="N114" s="94">
        <f>(69-43)*0.7</f>
        <v>18.2</v>
      </c>
      <c r="O114" s="72" t="s">
        <v>329</v>
      </c>
      <c r="P114" s="72">
        <v>12.74</v>
      </c>
    </row>
    <row r="115" spans="1:16">
      <c r="A115" s="44" t="s">
        <v>326</v>
      </c>
      <c r="B115" s="44"/>
      <c r="C115" s="35"/>
      <c r="D115" s="35">
        <v>45188</v>
      </c>
      <c r="E115" s="4">
        <v>45209</v>
      </c>
      <c r="F115" s="40"/>
      <c r="G115" s="40"/>
      <c r="H115" s="5">
        <v>11.48</v>
      </c>
      <c r="I115" s="102"/>
      <c r="J115" s="40"/>
      <c r="K115" s="40"/>
      <c r="L115" s="6">
        <v>59</v>
      </c>
      <c r="M115" s="6">
        <v>38</v>
      </c>
      <c r="N115" s="59">
        <f>(L115-M115)*0.7</f>
        <v>14.7</v>
      </c>
    </row>
    <row r="116" spans="1:16">
      <c r="A116" s="44" t="s">
        <v>108</v>
      </c>
      <c r="B116" s="44"/>
      <c r="C116" s="35"/>
      <c r="D116" s="35">
        <v>45231</v>
      </c>
      <c r="E116" s="4">
        <v>45231</v>
      </c>
      <c r="F116" s="40"/>
      <c r="G116" s="40"/>
      <c r="H116" s="5"/>
      <c r="I116" s="102"/>
      <c r="J116" s="40"/>
      <c r="K116" s="40"/>
      <c r="L116" s="6">
        <v>69</v>
      </c>
      <c r="M116" s="6">
        <v>43</v>
      </c>
      <c r="N116" s="59">
        <f>(L116-M116)*0.7</f>
        <v>18.2</v>
      </c>
    </row>
    <row r="117" spans="1:16">
      <c r="A117" s="44" t="s">
        <v>327</v>
      </c>
      <c r="B117" s="44"/>
      <c r="C117" s="35"/>
      <c r="D117" s="35"/>
      <c r="E117" s="4">
        <v>45127</v>
      </c>
      <c r="F117" s="40"/>
      <c r="G117" s="40"/>
      <c r="H117" s="5">
        <v>11.48</v>
      </c>
      <c r="I117" s="102"/>
      <c r="J117" s="40"/>
      <c r="K117" s="40"/>
      <c r="L117" s="6">
        <v>25</v>
      </c>
      <c r="M117" s="6">
        <v>9</v>
      </c>
      <c r="N117" s="59">
        <f>(L117-M117)*0.7</f>
        <v>11.2</v>
      </c>
    </row>
    <row r="118" spans="1:16">
      <c r="A118" s="44" t="s">
        <v>336</v>
      </c>
      <c r="B118" s="44"/>
      <c r="C118" s="35"/>
      <c r="D118" s="35">
        <v>45278</v>
      </c>
      <c r="E118" s="4">
        <v>45278</v>
      </c>
      <c r="F118" s="40"/>
      <c r="G118" s="40"/>
      <c r="H118" s="5"/>
      <c r="I118" s="102"/>
      <c r="J118" s="40"/>
      <c r="K118" s="40"/>
      <c r="L118" s="6">
        <v>69</v>
      </c>
      <c r="M118" s="6">
        <v>43</v>
      </c>
      <c r="N118" s="59">
        <f>(69-43)*0.7/30*42</f>
        <v>25.48</v>
      </c>
    </row>
    <row r="119" spans="1:16">
      <c r="A119" s="44" t="s">
        <v>338</v>
      </c>
      <c r="B119" s="44"/>
      <c r="C119" s="35">
        <v>45271</v>
      </c>
      <c r="D119" s="35"/>
      <c r="E119" s="4">
        <v>45301</v>
      </c>
      <c r="F119" s="40"/>
      <c r="G119" s="40"/>
      <c r="H119" s="5">
        <v>14.26</v>
      </c>
      <c r="I119" s="102">
        <f>25/30*29</f>
        <v>24.166666666666668</v>
      </c>
      <c r="J119" s="40">
        <f>30+50</f>
        <v>80</v>
      </c>
      <c r="K119" s="40"/>
      <c r="L119" s="6">
        <v>80</v>
      </c>
      <c r="M119" s="6">
        <v>26</v>
      </c>
      <c r="N119" s="59">
        <f>(L119-M119)*0.7/30*20</f>
        <v>25.2</v>
      </c>
      <c r="O119" t="s">
        <v>339</v>
      </c>
    </row>
    <row r="120" spans="1:16">
      <c r="C120" s="36"/>
      <c r="D120" s="36"/>
      <c r="F120" s="28"/>
      <c r="G120" s="28"/>
      <c r="H120" s="30"/>
      <c r="I120" s="104"/>
      <c r="M120" s="62" t="s">
        <v>4</v>
      </c>
      <c r="N120" s="18">
        <f>SUM(N2:N119)</f>
        <v>4377.38</v>
      </c>
    </row>
    <row r="121" spans="1:16">
      <c r="C121" s="36"/>
      <c r="D121" s="36"/>
      <c r="F121" s="28"/>
      <c r="G121" s="28"/>
      <c r="H121" s="30"/>
      <c r="I121" s="104"/>
      <c r="M121" s="61" t="s">
        <v>251</v>
      </c>
      <c r="N121" s="6">
        <v>3649.8</v>
      </c>
    </row>
    <row r="122" spans="1:16">
      <c r="C122" s="36"/>
      <c r="D122" s="36"/>
      <c r="F122" s="28"/>
      <c r="G122" s="28"/>
      <c r="H122" s="30"/>
      <c r="I122" s="104"/>
    </row>
    <row r="123" spans="1:16">
      <c r="M123" s="66" t="s">
        <v>340</v>
      </c>
    </row>
    <row r="124" spans="1:16">
      <c r="A124" s="28"/>
      <c r="B124" s="28"/>
      <c r="E124" s="15"/>
      <c r="F124" s="1"/>
      <c r="G124" s="1"/>
      <c r="H124" s="1"/>
      <c r="J124" s="1"/>
      <c r="K124" s="1"/>
      <c r="L124" s="1"/>
      <c r="M124" s="1" t="s">
        <v>330</v>
      </c>
      <c r="N124" s="29" t="s">
        <v>341</v>
      </c>
    </row>
    <row r="125" spans="1:16">
      <c r="L125" s="1"/>
      <c r="M125" s="1" t="s">
        <v>331</v>
      </c>
      <c r="N125">
        <v>580</v>
      </c>
      <c r="O125" t="s">
        <v>332</v>
      </c>
    </row>
    <row r="126" spans="1:16">
      <c r="H126" s="30"/>
      <c r="L126" s="1"/>
      <c r="M126"/>
    </row>
    <row r="127" spans="1:16">
      <c r="M127"/>
    </row>
  </sheetData>
  <autoFilter ref="A1:P121">
    <sortState ref="A2:P103">
      <sortCondition ref="B1:B103"/>
    </sortState>
  </autoFilter>
  <pageMargins left="0.7" right="0.7" top="0.75" bottom="0.75" header="0.3" footer="0.3"/>
  <pageSetup paperSize="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>
  <dimension ref="A1:P135"/>
  <sheetViews>
    <sheetView topLeftCell="D122" workbookViewId="0">
      <selection activeCell="I133" sqref="I133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3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50</v>
      </c>
      <c r="M5" s="61">
        <v>22</v>
      </c>
      <c r="N5" s="6">
        <f t="shared" si="0"/>
        <v>19.599999999999998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40</v>
      </c>
      <c r="B19" s="2"/>
      <c r="C19" s="4">
        <v>43106</v>
      </c>
      <c r="D19" s="4"/>
      <c r="E19" s="4">
        <v>43146</v>
      </c>
      <c r="F19" s="5"/>
      <c r="G19" s="49"/>
      <c r="H19" s="5">
        <v>8.2899999999999991</v>
      </c>
      <c r="I19" s="102">
        <f>25/30*39</f>
        <v>32.5</v>
      </c>
      <c r="J19" s="5"/>
      <c r="K19" s="5"/>
      <c r="L19" s="6">
        <v>70</v>
      </c>
      <c r="M19" s="61">
        <v>26</v>
      </c>
      <c r="N19" s="6">
        <f t="shared" si="0"/>
        <v>30.799999999999997</v>
      </c>
    </row>
    <row r="20" spans="1:15">
      <c r="A20" s="2" t="s">
        <v>44</v>
      </c>
      <c r="B20" s="2"/>
      <c r="C20" s="4">
        <v>43196</v>
      </c>
      <c r="D20" s="4"/>
      <c r="E20" s="4">
        <v>43250</v>
      </c>
      <c r="F20" s="5"/>
      <c r="G20" s="49"/>
      <c r="H20" s="5">
        <v>13.78</v>
      </c>
      <c r="I20" s="102">
        <f>25*24/30+25</f>
        <v>45</v>
      </c>
      <c r="J20" s="5"/>
      <c r="K20" s="5"/>
      <c r="L20" s="6">
        <v>11</v>
      </c>
      <c r="M20" s="61">
        <v>25</v>
      </c>
      <c r="N20" s="6">
        <v>9.7999999999999989</v>
      </c>
    </row>
    <row r="21" spans="1:15">
      <c r="A21" s="22" t="s">
        <v>47</v>
      </c>
      <c r="B21" s="22"/>
      <c r="C21" s="4">
        <v>43355</v>
      </c>
      <c r="D21" s="4"/>
      <c r="E21" s="4">
        <v>43277</v>
      </c>
      <c r="F21" s="5"/>
      <c r="G21" s="49"/>
      <c r="H21" s="5">
        <v>19.98</v>
      </c>
      <c r="I21" s="102">
        <f>36*2+36/30*16</f>
        <v>91.2</v>
      </c>
      <c r="J21" s="5"/>
      <c r="K21" s="5"/>
      <c r="L21" s="6">
        <v>105</v>
      </c>
      <c r="M21" s="61">
        <v>36</v>
      </c>
      <c r="N21" s="6">
        <f t="shared" si="0"/>
        <v>48.3</v>
      </c>
    </row>
    <row r="22" spans="1:15">
      <c r="A22" s="22" t="s">
        <v>48</v>
      </c>
      <c r="B22" s="22"/>
      <c r="C22" s="4">
        <v>43367</v>
      </c>
      <c r="D22" s="4"/>
      <c r="E22" s="4">
        <v>43284</v>
      </c>
      <c r="F22" s="5"/>
      <c r="G22" s="49"/>
      <c r="H22" s="5">
        <v>9.1</v>
      </c>
      <c r="I22" s="102">
        <f>25+25/30*27</f>
        <v>47.5</v>
      </c>
      <c r="J22" s="5"/>
      <c r="K22" s="5"/>
      <c r="L22" s="6">
        <v>75</v>
      </c>
      <c r="M22" s="61">
        <v>25</v>
      </c>
      <c r="N22" s="6">
        <f t="shared" si="0"/>
        <v>35</v>
      </c>
    </row>
    <row r="23" spans="1:15">
      <c r="A23" s="2" t="s">
        <v>45</v>
      </c>
      <c r="B23" s="2"/>
      <c r="C23" s="4"/>
      <c r="D23" s="4"/>
      <c r="E23" s="4">
        <v>43286</v>
      </c>
      <c r="F23" s="5"/>
      <c r="G23" s="49"/>
      <c r="H23" s="5">
        <v>11.56</v>
      </c>
      <c r="I23" s="102"/>
      <c r="J23" s="5"/>
      <c r="K23" s="5"/>
      <c r="L23" s="6">
        <v>150</v>
      </c>
      <c r="M23" s="61">
        <v>76</v>
      </c>
      <c r="N23" s="6">
        <f t="shared" si="0"/>
        <v>51.8</v>
      </c>
      <c r="O23" s="20"/>
    </row>
    <row r="24" spans="1:15">
      <c r="A24" s="22" t="s">
        <v>49</v>
      </c>
      <c r="B24" s="22"/>
      <c r="C24" s="4">
        <v>43367</v>
      </c>
      <c r="D24" s="4"/>
      <c r="E24" s="4">
        <v>43291</v>
      </c>
      <c r="F24" s="5"/>
      <c r="G24" s="49"/>
      <c r="H24" s="5">
        <v>10.039999999999999</v>
      </c>
      <c r="I24" s="102">
        <f>50+25/30*14</f>
        <v>61.666666666666671</v>
      </c>
      <c r="J24" s="5"/>
      <c r="K24" s="5"/>
      <c r="L24" s="6">
        <v>50</v>
      </c>
      <c r="M24" s="61">
        <v>22</v>
      </c>
      <c r="N24" s="18">
        <f t="shared" si="0"/>
        <v>19.599999999999998</v>
      </c>
    </row>
    <row r="25" spans="1:15">
      <c r="A25" s="22" t="s">
        <v>51</v>
      </c>
      <c r="B25" s="22"/>
      <c r="C25" s="4">
        <v>43358</v>
      </c>
      <c r="D25" s="4"/>
      <c r="E25" s="4">
        <v>43291</v>
      </c>
      <c r="F25" s="5"/>
      <c r="G25" s="49"/>
      <c r="H25" s="5">
        <v>10.039999999999999</v>
      </c>
      <c r="I25" s="102">
        <f>50+25/30*5</f>
        <v>54.166666666666664</v>
      </c>
      <c r="J25" s="5"/>
      <c r="K25" s="5"/>
      <c r="L25" s="6">
        <v>75</v>
      </c>
      <c r="M25" s="61">
        <v>25</v>
      </c>
      <c r="N25" s="6">
        <f t="shared" si="0"/>
        <v>35</v>
      </c>
    </row>
    <row r="26" spans="1:15">
      <c r="A26" s="22" t="s">
        <v>52</v>
      </c>
      <c r="B26" s="22"/>
      <c r="C26" s="4">
        <v>43367</v>
      </c>
      <c r="D26" s="4"/>
      <c r="E26" s="4">
        <v>43308</v>
      </c>
      <c r="F26" s="5"/>
      <c r="G26" s="49"/>
      <c r="H26" s="5">
        <v>10.86</v>
      </c>
      <c r="I26" s="102">
        <f>25+25/30*27</f>
        <v>47.5</v>
      </c>
      <c r="J26" s="5"/>
      <c r="K26" s="5"/>
      <c r="L26" s="6">
        <v>75</v>
      </c>
      <c r="M26" s="61">
        <v>25</v>
      </c>
      <c r="N26" s="27">
        <f t="shared" si="0"/>
        <v>35</v>
      </c>
    </row>
    <row r="27" spans="1:15">
      <c r="A27" s="22" t="s">
        <v>50</v>
      </c>
      <c r="B27" s="22"/>
      <c r="C27" s="4">
        <v>43367</v>
      </c>
      <c r="D27" s="4"/>
      <c r="E27" s="4">
        <v>43312</v>
      </c>
      <c r="F27" s="5"/>
      <c r="G27" s="49"/>
      <c r="H27" s="5">
        <v>10.86</v>
      </c>
      <c r="I27" s="102">
        <f>25+25/30*24</f>
        <v>45</v>
      </c>
      <c r="J27" s="5"/>
      <c r="K27" s="5"/>
      <c r="L27" s="6">
        <v>70</v>
      </c>
      <c r="M27" s="61">
        <v>25</v>
      </c>
      <c r="N27" s="6">
        <f t="shared" si="0"/>
        <v>31.499999999999996</v>
      </c>
    </row>
    <row r="28" spans="1:15">
      <c r="A28" s="22" t="s">
        <v>55</v>
      </c>
      <c r="B28" s="22"/>
      <c r="C28" s="4">
        <v>43363</v>
      </c>
      <c r="D28" s="4"/>
      <c r="E28" s="4">
        <v>43440</v>
      </c>
      <c r="F28" s="5"/>
      <c r="G28" s="49"/>
      <c r="H28" s="5">
        <v>14.11</v>
      </c>
      <c r="I28" s="102">
        <f>25*2+25*16/30</f>
        <v>63.333333333333336</v>
      </c>
      <c r="J28" s="5"/>
      <c r="K28" s="5"/>
      <c r="L28" s="6">
        <v>75</v>
      </c>
      <c r="M28" s="61">
        <v>25</v>
      </c>
      <c r="N28" s="6">
        <f t="shared" si="0"/>
        <v>35</v>
      </c>
    </row>
    <row r="29" spans="1:15">
      <c r="A29" s="22" t="s">
        <v>54</v>
      </c>
      <c r="B29" s="22"/>
      <c r="C29" s="4">
        <v>43167</v>
      </c>
      <c r="D29" s="4"/>
      <c r="E29" s="4">
        <v>43455</v>
      </c>
      <c r="F29" s="5"/>
      <c r="G29" s="49"/>
      <c r="H29" s="5">
        <v>10.86</v>
      </c>
      <c r="I29" s="102">
        <f>9*25+25*13/30</f>
        <v>235.83333333333334</v>
      </c>
      <c r="J29" s="5"/>
      <c r="K29" s="5"/>
      <c r="L29" s="6">
        <v>90</v>
      </c>
      <c r="M29" s="61">
        <v>36</v>
      </c>
      <c r="N29" s="6">
        <f t="shared" si="0"/>
        <v>37.799999999999997</v>
      </c>
    </row>
    <row r="30" spans="1:15">
      <c r="A30" s="22" t="s">
        <v>57</v>
      </c>
      <c r="B30" s="55"/>
      <c r="C30" s="31">
        <v>43478</v>
      </c>
      <c r="D30" s="31"/>
      <c r="E30" s="4">
        <v>43536</v>
      </c>
      <c r="F30" s="5"/>
      <c r="G30" s="49"/>
      <c r="H30" s="5">
        <v>10.86</v>
      </c>
      <c r="I30" s="102">
        <v>25</v>
      </c>
      <c r="J30" s="5"/>
      <c r="K30" s="5"/>
      <c r="L30" s="6">
        <v>70</v>
      </c>
      <c r="M30" s="61">
        <v>25</v>
      </c>
      <c r="N30" s="6">
        <f t="shared" si="0"/>
        <v>31.499999999999996</v>
      </c>
    </row>
    <row r="31" spans="1:15">
      <c r="A31" s="22" t="s">
        <v>59</v>
      </c>
      <c r="B31" s="22"/>
      <c r="C31" s="4">
        <v>43528</v>
      </c>
      <c r="D31" s="4"/>
      <c r="E31" s="4">
        <v>43538</v>
      </c>
      <c r="F31" s="5"/>
      <c r="G31" s="49"/>
      <c r="H31" s="5">
        <v>14.92</v>
      </c>
      <c r="I31" s="102">
        <f>77/30*10</f>
        <v>25.666666666666668</v>
      </c>
      <c r="J31" s="5"/>
      <c r="K31" s="5"/>
      <c r="L31" s="6">
        <v>169</v>
      </c>
      <c r="M31" s="61">
        <f>64+11+2</f>
        <v>77</v>
      </c>
      <c r="N31" s="6">
        <f t="shared" si="0"/>
        <v>64.399999999999991</v>
      </c>
    </row>
    <row r="32" spans="1:15">
      <c r="A32" s="22" t="s">
        <v>58</v>
      </c>
      <c r="B32" s="22"/>
      <c r="C32" s="4">
        <v>43534</v>
      </c>
      <c r="D32" s="4"/>
      <c r="E32" s="4">
        <v>43542</v>
      </c>
      <c r="F32" s="5"/>
      <c r="G32" s="49"/>
      <c r="H32" s="5">
        <f>10.86*2</f>
        <v>21.72</v>
      </c>
      <c r="I32" s="102">
        <v>0</v>
      </c>
      <c r="J32" s="5"/>
      <c r="K32" s="5"/>
      <c r="L32" s="6">
        <v>60</v>
      </c>
      <c r="M32" s="61">
        <v>33</v>
      </c>
      <c r="N32" s="6">
        <v>18.899999999999999</v>
      </c>
    </row>
    <row r="33" spans="1:15">
      <c r="A33" s="22" t="s">
        <v>61</v>
      </c>
      <c r="B33" s="22"/>
      <c r="C33" s="4">
        <v>43482</v>
      </c>
      <c r="D33" s="4"/>
      <c r="E33" s="4">
        <v>43542</v>
      </c>
      <c r="F33" s="5"/>
      <c r="G33" s="49"/>
      <c r="H33" s="5">
        <v>11.1</v>
      </c>
      <c r="I33" s="102">
        <f>25*2</f>
        <v>50</v>
      </c>
      <c r="J33" s="5"/>
      <c r="K33" s="5"/>
      <c r="L33" s="6">
        <v>70</v>
      </c>
      <c r="M33" s="61">
        <v>26</v>
      </c>
      <c r="N33" s="6">
        <f t="shared" si="0"/>
        <v>30.799999999999997</v>
      </c>
    </row>
    <row r="34" spans="1:15">
      <c r="A34" s="22" t="s">
        <v>67</v>
      </c>
      <c r="B34" s="22"/>
      <c r="C34" s="4">
        <v>43600</v>
      </c>
      <c r="D34" s="4"/>
      <c r="E34" s="4">
        <v>43629</v>
      </c>
      <c r="F34" s="5"/>
      <c r="G34" s="49"/>
      <c r="H34" s="5">
        <f>10.86*2</f>
        <v>21.72</v>
      </c>
      <c r="I34" s="102">
        <f>22/30*58</f>
        <v>42.533333333333331</v>
      </c>
      <c r="J34" s="5">
        <v>50</v>
      </c>
      <c r="K34" s="5">
        <f>H34+I34+J34</f>
        <v>114.25333333333333</v>
      </c>
      <c r="L34" s="6">
        <v>60</v>
      </c>
      <c r="M34" s="61">
        <v>25</v>
      </c>
      <c r="N34" s="6">
        <v>0</v>
      </c>
    </row>
    <row r="35" spans="1:15">
      <c r="A35" s="22" t="s">
        <v>66</v>
      </c>
      <c r="B35" s="22"/>
      <c r="C35" s="4">
        <v>43600</v>
      </c>
      <c r="D35" s="4"/>
      <c r="E35" s="4">
        <v>43629</v>
      </c>
      <c r="F35" s="5"/>
      <c r="G35" s="49"/>
      <c r="H35" s="5">
        <f>10.86</f>
        <v>10.86</v>
      </c>
      <c r="I35" s="102">
        <f>39/30*58</f>
        <v>75.400000000000006</v>
      </c>
      <c r="J35" s="5"/>
      <c r="K35" s="5">
        <f>H35+I35</f>
        <v>86.26</v>
      </c>
      <c r="L35" s="6">
        <v>110</v>
      </c>
      <c r="M35" s="61">
        <f>25+11+3</f>
        <v>39</v>
      </c>
      <c r="N35" s="6">
        <v>0</v>
      </c>
      <c r="O35" t="s">
        <v>73</v>
      </c>
    </row>
    <row r="36" spans="1:15">
      <c r="A36" s="22" t="s">
        <v>64</v>
      </c>
      <c r="B36" s="22"/>
      <c r="C36" s="4">
        <v>43627</v>
      </c>
      <c r="D36" s="4"/>
      <c r="E36" s="4">
        <v>43629</v>
      </c>
      <c r="F36" s="5"/>
      <c r="G36" s="49"/>
      <c r="H36" s="5">
        <v>10.86</v>
      </c>
      <c r="I36" s="102">
        <f>25/30*2</f>
        <v>1.6666666666666667</v>
      </c>
      <c r="J36" s="5"/>
      <c r="K36" s="5">
        <f>H36+I36</f>
        <v>12.526666666666666</v>
      </c>
      <c r="L36" s="6">
        <v>200</v>
      </c>
      <c r="M36" s="61">
        <v>11</v>
      </c>
      <c r="N36" s="5">
        <f t="shared" ref="N36:N48" si="1">(L36-M36)*0.7</f>
        <v>132.29999999999998</v>
      </c>
    </row>
    <row r="37" spans="1:15">
      <c r="A37" s="22" t="s">
        <v>65</v>
      </c>
      <c r="B37" s="22"/>
      <c r="C37" s="4">
        <v>43622</v>
      </c>
      <c r="D37" s="4"/>
      <c r="E37" s="4">
        <v>43650</v>
      </c>
      <c r="F37" s="5"/>
      <c r="G37" s="49"/>
      <c r="H37" s="5">
        <v>10.86</v>
      </c>
      <c r="I37" s="102"/>
      <c r="J37" s="5"/>
      <c r="K37" s="5"/>
      <c r="L37" s="6">
        <v>120</v>
      </c>
      <c r="M37" s="61">
        <v>60</v>
      </c>
      <c r="N37" s="6">
        <f t="shared" si="1"/>
        <v>42</v>
      </c>
    </row>
    <row r="38" spans="1:15">
      <c r="A38" s="22" t="s">
        <v>71</v>
      </c>
      <c r="B38" s="22"/>
      <c r="C38" s="4">
        <v>43635</v>
      </c>
      <c r="D38" s="4"/>
      <c r="E38" s="4">
        <v>43662</v>
      </c>
      <c r="F38" s="5"/>
      <c r="G38" s="49"/>
      <c r="H38" s="5">
        <f>10.86*2</f>
        <v>21.72</v>
      </c>
      <c r="I38" s="102"/>
      <c r="J38" s="5"/>
      <c r="K38" s="5"/>
      <c r="L38" s="6">
        <v>70</v>
      </c>
      <c r="M38" s="61">
        <v>26</v>
      </c>
      <c r="N38" s="6">
        <f t="shared" si="1"/>
        <v>30.799999999999997</v>
      </c>
      <c r="O38" t="s">
        <v>72</v>
      </c>
    </row>
    <row r="39" spans="1:15">
      <c r="A39" s="2" t="s">
        <v>75</v>
      </c>
      <c r="B39" s="2"/>
      <c r="C39" s="4">
        <v>43656</v>
      </c>
      <c r="D39" s="4"/>
      <c r="E39" s="4">
        <v>43711</v>
      </c>
      <c r="F39" s="5"/>
      <c r="G39" s="49"/>
      <c r="H39" s="5">
        <v>10.86</v>
      </c>
      <c r="I39" s="102">
        <f>36/30*48</f>
        <v>57.599999999999994</v>
      </c>
      <c r="J39" s="5"/>
      <c r="K39" s="5"/>
      <c r="L39" s="6">
        <v>105</v>
      </c>
      <c r="M39" s="61">
        <v>36</v>
      </c>
      <c r="N39" s="6">
        <f t="shared" si="1"/>
        <v>48.3</v>
      </c>
    </row>
    <row r="40" spans="1:15">
      <c r="A40" s="2" t="s">
        <v>76</v>
      </c>
      <c r="B40" s="2"/>
      <c r="C40" s="4">
        <v>43677</v>
      </c>
      <c r="D40" s="4"/>
      <c r="E40" s="4">
        <v>43713</v>
      </c>
      <c r="F40" s="5"/>
      <c r="G40" s="49"/>
      <c r="H40" s="5">
        <v>24.06</v>
      </c>
      <c r="I40" s="102">
        <f>80/30*35</f>
        <v>93.333333333333329</v>
      </c>
      <c r="J40" s="5">
        <v>40</v>
      </c>
      <c r="K40" s="5"/>
      <c r="L40" s="6">
        <v>149</v>
      </c>
      <c r="M40" s="61">
        <v>80</v>
      </c>
      <c r="N40" s="6">
        <f t="shared" si="1"/>
        <v>48.3</v>
      </c>
      <c r="O40" t="s">
        <v>79</v>
      </c>
    </row>
    <row r="41" spans="1:15">
      <c r="A41" s="2" t="s">
        <v>81</v>
      </c>
      <c r="B41" s="2"/>
      <c r="C41" s="4">
        <v>43788</v>
      </c>
      <c r="D41" s="4"/>
      <c r="E41" s="4">
        <v>43865</v>
      </c>
      <c r="F41" s="5"/>
      <c r="G41" s="49"/>
      <c r="H41" s="5">
        <v>9.14</v>
      </c>
      <c r="I41" s="102">
        <f>25/30*45</f>
        <v>37.5</v>
      </c>
      <c r="J41" s="5"/>
      <c r="K41" s="5"/>
      <c r="L41" s="6">
        <v>90</v>
      </c>
      <c r="M41" s="61">
        <v>25</v>
      </c>
      <c r="N41" s="6">
        <f t="shared" si="1"/>
        <v>45.5</v>
      </c>
    </row>
    <row r="42" spans="1:15">
      <c r="A42" s="22" t="s">
        <v>87</v>
      </c>
      <c r="B42" s="22"/>
      <c r="C42" s="35">
        <v>43878</v>
      </c>
      <c r="D42" s="35"/>
      <c r="E42" s="35">
        <v>43892</v>
      </c>
      <c r="F42" s="5"/>
      <c r="G42" s="49"/>
      <c r="H42" s="5">
        <v>12.19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5">
      <c r="A43" s="22" t="s">
        <v>89</v>
      </c>
      <c r="B43" s="22"/>
      <c r="C43" s="35">
        <v>43908</v>
      </c>
      <c r="D43" s="35"/>
      <c r="E43" s="35">
        <v>43893</v>
      </c>
      <c r="F43" s="5"/>
      <c r="G43" s="49"/>
      <c r="H43" s="5">
        <v>9.6</v>
      </c>
      <c r="I43" s="102"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5">
      <c r="A44" s="22" t="s">
        <v>85</v>
      </c>
      <c r="B44" s="22"/>
      <c r="C44" s="35">
        <v>43881</v>
      </c>
      <c r="D44" s="35"/>
      <c r="E44" s="35">
        <v>43895</v>
      </c>
      <c r="F44" s="5"/>
      <c r="G44" s="49"/>
      <c r="H44" s="5">
        <v>9.14</v>
      </c>
      <c r="I44" s="102">
        <f>11/30*15</f>
        <v>5.5</v>
      </c>
      <c r="J44" s="5"/>
      <c r="K44" s="5"/>
      <c r="L44" s="6">
        <v>25</v>
      </c>
      <c r="M44" s="61">
        <v>11</v>
      </c>
      <c r="N44" s="6">
        <f t="shared" si="1"/>
        <v>9.7999999999999989</v>
      </c>
    </row>
    <row r="45" spans="1:15">
      <c r="A45" s="39" t="s">
        <v>82</v>
      </c>
      <c r="B45" s="28"/>
      <c r="C45" s="36">
        <v>40235</v>
      </c>
      <c r="D45" s="36"/>
      <c r="E45" s="36">
        <v>43901</v>
      </c>
      <c r="F45" s="5"/>
      <c r="G45" s="34"/>
      <c r="H45" s="37">
        <v>9.6</v>
      </c>
      <c r="I45" s="102">
        <f>11/2</f>
        <v>5.5</v>
      </c>
      <c r="J45" s="5"/>
      <c r="K45" s="5"/>
      <c r="L45" s="17">
        <v>25</v>
      </c>
      <c r="M45" s="63">
        <v>11</v>
      </c>
      <c r="N45" s="26">
        <f t="shared" si="1"/>
        <v>9.7999999999999989</v>
      </c>
    </row>
    <row r="46" spans="1:15">
      <c r="A46" s="22" t="s">
        <v>84</v>
      </c>
      <c r="B46" s="22"/>
      <c r="C46" s="35">
        <v>43889</v>
      </c>
      <c r="D46" s="35"/>
      <c r="E46" s="35">
        <v>43903</v>
      </c>
      <c r="F46" s="5"/>
      <c r="G46" s="49"/>
      <c r="H46" s="5">
        <v>9.14</v>
      </c>
      <c r="I46" s="102">
        <f>11/30*15</f>
        <v>5.5</v>
      </c>
      <c r="J46" s="5"/>
      <c r="K46" s="5"/>
      <c r="L46" s="6">
        <v>25</v>
      </c>
      <c r="M46" s="61">
        <v>11</v>
      </c>
      <c r="N46" s="6">
        <f t="shared" si="1"/>
        <v>9.7999999999999989</v>
      </c>
    </row>
    <row r="47" spans="1:15">
      <c r="A47" s="22" t="s">
        <v>80</v>
      </c>
      <c r="B47" s="22"/>
      <c r="C47" s="35">
        <v>43873</v>
      </c>
      <c r="D47" s="35"/>
      <c r="E47" s="35">
        <v>43910</v>
      </c>
      <c r="F47" s="5"/>
      <c r="G47" s="49"/>
      <c r="H47" s="5">
        <v>21.84</v>
      </c>
      <c r="I47" s="102">
        <f>56/30*38</f>
        <v>70.933333333333337</v>
      </c>
      <c r="J47" s="5"/>
      <c r="K47" s="5"/>
      <c r="L47" s="6">
        <v>120</v>
      </c>
      <c r="M47" s="61">
        <v>56</v>
      </c>
      <c r="N47" s="6">
        <f t="shared" si="1"/>
        <v>44.8</v>
      </c>
    </row>
    <row r="48" spans="1:15">
      <c r="A48" s="22" t="s">
        <v>88</v>
      </c>
      <c r="B48" s="22"/>
      <c r="C48" s="35">
        <v>43855</v>
      </c>
      <c r="D48" s="35"/>
      <c r="E48" s="35">
        <v>43941</v>
      </c>
      <c r="F48" s="5"/>
      <c r="G48" s="49"/>
      <c r="H48" s="5">
        <v>13.93</v>
      </c>
      <c r="I48" s="102">
        <f>56/30*85</f>
        <v>158.66666666666666</v>
      </c>
      <c r="J48" s="5"/>
      <c r="K48" s="5"/>
      <c r="L48" s="6">
        <v>110</v>
      </c>
      <c r="M48" s="61">
        <v>56</v>
      </c>
      <c r="N48" s="6">
        <f t="shared" si="1"/>
        <v>37.799999999999997</v>
      </c>
    </row>
    <row r="49" spans="1:16">
      <c r="A49" s="22" t="s">
        <v>90</v>
      </c>
      <c r="B49" s="22"/>
      <c r="C49" s="35" t="s">
        <v>96</v>
      </c>
      <c r="D49" s="35"/>
      <c r="E49" s="35">
        <v>44015</v>
      </c>
      <c r="F49" s="5" t="s">
        <v>160</v>
      </c>
      <c r="G49" s="49">
        <v>12.5</v>
      </c>
      <c r="H49" s="5">
        <v>11.29</v>
      </c>
      <c r="I49" s="102">
        <f>100</f>
        <v>100</v>
      </c>
      <c r="J49" s="5"/>
      <c r="K49" s="5"/>
      <c r="L49" s="6">
        <v>105</v>
      </c>
      <c r="M49" s="61">
        <f>25+11+22</f>
        <v>58</v>
      </c>
      <c r="N49" s="6">
        <f>12.5+(92.5-M49)*0.7</f>
        <v>36.65</v>
      </c>
      <c r="P49" s="41"/>
    </row>
    <row r="50" spans="1:16">
      <c r="A50" s="22" t="s">
        <v>97</v>
      </c>
      <c r="B50" s="22"/>
      <c r="C50" s="35">
        <v>43990</v>
      </c>
      <c r="D50" s="35"/>
      <c r="E50" s="35">
        <v>44036</v>
      </c>
      <c r="F50" s="5"/>
      <c r="G50" s="49"/>
      <c r="H50" s="5">
        <v>8.75</v>
      </c>
      <c r="I50" s="102">
        <f>56/30*46</f>
        <v>85.866666666666674</v>
      </c>
      <c r="J50" s="5"/>
      <c r="K50" s="5"/>
      <c r="L50" s="6">
        <v>110</v>
      </c>
      <c r="M50" s="61">
        <f>45+11</f>
        <v>56</v>
      </c>
      <c r="N50" s="6">
        <f>(L50-M50)*0.7</f>
        <v>37.799999999999997</v>
      </c>
    </row>
    <row r="51" spans="1:16">
      <c r="A51" s="22" t="s">
        <v>95</v>
      </c>
      <c r="B51" s="22"/>
      <c r="C51" s="35">
        <v>44028</v>
      </c>
      <c r="D51" s="35"/>
      <c r="E51" s="35">
        <v>44040</v>
      </c>
      <c r="F51" s="5"/>
      <c r="G51" s="49"/>
      <c r="H51" s="5">
        <v>8.75</v>
      </c>
      <c r="I51" s="102">
        <f>41/30*12</f>
        <v>16.399999999999999</v>
      </c>
      <c r="J51" s="5"/>
      <c r="K51" s="5"/>
      <c r="L51" s="6">
        <v>60</v>
      </c>
      <c r="M51" s="61">
        <v>41</v>
      </c>
      <c r="N51" s="6">
        <f>(L51-M51)*0.7</f>
        <v>13.299999999999999</v>
      </c>
    </row>
    <row r="52" spans="1:16">
      <c r="A52" s="22" t="s">
        <v>94</v>
      </c>
      <c r="B52" s="22"/>
      <c r="C52" s="35">
        <v>44011</v>
      </c>
      <c r="D52" s="35"/>
      <c r="E52" s="35">
        <v>44084</v>
      </c>
      <c r="F52" s="5"/>
      <c r="G52" s="49"/>
      <c r="H52" s="5">
        <v>11.29</v>
      </c>
      <c r="I52" s="102">
        <f>25/30*71</f>
        <v>59.166666666666671</v>
      </c>
      <c r="J52" s="5"/>
      <c r="K52" s="5"/>
      <c r="L52" s="6">
        <v>40</v>
      </c>
      <c r="M52" s="61">
        <v>25</v>
      </c>
      <c r="N52" s="6">
        <f>(L52-M52)*0.7</f>
        <v>10.5</v>
      </c>
    </row>
    <row r="53" spans="1:16">
      <c r="A53" s="2" t="s">
        <v>99</v>
      </c>
      <c r="B53" s="2"/>
      <c r="C53" s="35">
        <v>44084</v>
      </c>
      <c r="D53" s="35"/>
      <c r="E53" s="35">
        <v>44105</v>
      </c>
      <c r="F53" s="5" t="s">
        <v>160</v>
      </c>
      <c r="G53" s="49">
        <v>5</v>
      </c>
      <c r="H53" s="5">
        <v>12.24</v>
      </c>
      <c r="I53" s="102">
        <f>25/30*20</f>
        <v>16.666666666666668</v>
      </c>
      <c r="J53" s="5"/>
      <c r="K53" s="5"/>
      <c r="L53" s="43">
        <v>40</v>
      </c>
      <c r="M53" s="61">
        <v>22</v>
      </c>
      <c r="N53" s="6">
        <f>5+13*0.7</f>
        <v>14.1</v>
      </c>
      <c r="P53" s="41"/>
    </row>
    <row r="54" spans="1:16">
      <c r="A54" s="2" t="s">
        <v>102</v>
      </c>
      <c r="B54" s="2"/>
      <c r="C54" s="4" t="s">
        <v>103</v>
      </c>
      <c r="D54" s="4"/>
      <c r="E54" s="4">
        <v>44110</v>
      </c>
      <c r="F54" s="5" t="s">
        <v>160</v>
      </c>
      <c r="G54" s="49">
        <v>10</v>
      </c>
      <c r="H54" s="5">
        <v>36.65</v>
      </c>
      <c r="I54" s="102">
        <f>115/30*26</f>
        <v>99.666666666666671</v>
      </c>
      <c r="J54" s="5"/>
      <c r="K54" s="5"/>
      <c r="L54" s="6">
        <v>180</v>
      </c>
      <c r="M54" s="61">
        <v>115</v>
      </c>
      <c r="N54" s="6">
        <f>10+55*0.7</f>
        <v>48.5</v>
      </c>
      <c r="P54" s="41"/>
    </row>
    <row r="55" spans="1:16">
      <c r="A55" s="2" t="s">
        <v>94</v>
      </c>
      <c r="B55" s="2"/>
      <c r="C55" s="35">
        <v>44124</v>
      </c>
      <c r="D55" s="35"/>
      <c r="E55" s="35">
        <v>44124</v>
      </c>
      <c r="F55" s="5"/>
      <c r="G55" s="49"/>
      <c r="H55" s="5">
        <v>7.25</v>
      </c>
      <c r="I55" s="102">
        <v>0</v>
      </c>
      <c r="J55" s="5"/>
      <c r="K55" s="5"/>
      <c r="L55" s="6">
        <v>25</v>
      </c>
      <c r="M55" s="61">
        <v>11</v>
      </c>
      <c r="N55" s="6">
        <f>(L55-M55)*0.7</f>
        <v>9.7999999999999989</v>
      </c>
    </row>
    <row r="56" spans="1:16">
      <c r="A56" s="2" t="s">
        <v>100</v>
      </c>
      <c r="B56" s="2"/>
      <c r="C56" s="4">
        <v>44018</v>
      </c>
      <c r="D56" s="4"/>
      <c r="E56" s="4">
        <v>44124</v>
      </c>
      <c r="F56" s="40"/>
      <c r="G56" s="2"/>
      <c r="H56" s="5">
        <v>9.5</v>
      </c>
      <c r="I56" s="102">
        <f>25/30*104</f>
        <v>86.666666666666671</v>
      </c>
      <c r="J56" s="5"/>
      <c r="K56" s="5"/>
      <c r="L56" s="6">
        <v>70</v>
      </c>
      <c r="M56" s="61">
        <v>25</v>
      </c>
      <c r="N56" s="6">
        <f>(L56-M56)*0.7</f>
        <v>31.499999999999996</v>
      </c>
    </row>
    <row r="57" spans="1:16">
      <c r="A57" s="2" t="s">
        <v>101</v>
      </c>
      <c r="B57" s="2"/>
      <c r="C57" s="4">
        <v>44070</v>
      </c>
      <c r="D57" s="4"/>
      <c r="E57" s="4">
        <v>44131</v>
      </c>
      <c r="F57" s="40"/>
      <c r="G57" s="2"/>
      <c r="H57" s="5">
        <v>13.93</v>
      </c>
      <c r="I57" s="102">
        <f>71/30*60</f>
        <v>142</v>
      </c>
      <c r="J57" s="5"/>
      <c r="K57" s="5"/>
      <c r="L57" s="6">
        <v>120</v>
      </c>
      <c r="M57" s="61">
        <f>60+11</f>
        <v>71</v>
      </c>
      <c r="N57" s="6">
        <f>(L57-M57)*0.7</f>
        <v>34.299999999999997</v>
      </c>
    </row>
    <row r="58" spans="1:16">
      <c r="A58" s="22" t="s">
        <v>104</v>
      </c>
      <c r="B58" s="22"/>
      <c r="C58" s="4">
        <v>44159</v>
      </c>
      <c r="D58" s="4"/>
      <c r="E58" s="4">
        <v>44187</v>
      </c>
      <c r="F58" s="40"/>
      <c r="G58" s="2"/>
      <c r="H58" s="5">
        <v>13.93</v>
      </c>
      <c r="I58" s="102">
        <f>36/30*28</f>
        <v>33.6</v>
      </c>
      <c r="J58" s="5"/>
      <c r="K58" s="5"/>
      <c r="L58" s="6">
        <v>110</v>
      </c>
      <c r="M58" s="61">
        <f>25+11</f>
        <v>36</v>
      </c>
      <c r="N58" s="6">
        <f>(L58-M58)*0.7</f>
        <v>51.8</v>
      </c>
    </row>
    <row r="59" spans="1:16">
      <c r="A59" s="22" t="s">
        <v>120</v>
      </c>
      <c r="B59" s="22"/>
      <c r="C59" s="4">
        <v>44169</v>
      </c>
      <c r="D59" s="4"/>
      <c r="E59" s="4">
        <v>44208</v>
      </c>
      <c r="F59" s="5" t="s">
        <v>160</v>
      </c>
      <c r="G59" s="49">
        <v>10</v>
      </c>
      <c r="H59" s="5"/>
      <c r="I59" s="102">
        <f>41/30*38</f>
        <v>51.933333333333337</v>
      </c>
      <c r="J59" s="5"/>
      <c r="K59" s="5"/>
      <c r="L59" s="6">
        <v>70</v>
      </c>
      <c r="M59" s="61">
        <v>45</v>
      </c>
      <c r="N59" s="5">
        <f>10+(60-45)*0.7</f>
        <v>20.5</v>
      </c>
      <c r="O59" s="1" t="s">
        <v>145</v>
      </c>
    </row>
    <row r="60" spans="1:16">
      <c r="A60" s="22" t="s">
        <v>108</v>
      </c>
      <c r="B60" s="22"/>
      <c r="C60" s="4">
        <v>44185</v>
      </c>
      <c r="D60" s="4"/>
      <c r="E60" s="4">
        <v>44242</v>
      </c>
      <c r="F60" s="5" t="s">
        <v>160</v>
      </c>
      <c r="G60" s="49">
        <v>20</v>
      </c>
      <c r="H60" s="5">
        <v>26.48</v>
      </c>
      <c r="I60" s="102">
        <f>50/30*55</f>
        <v>91.666666666666671</v>
      </c>
      <c r="J60" s="5">
        <v>160</v>
      </c>
      <c r="K60" s="5"/>
      <c r="L60" s="6">
        <v>190</v>
      </c>
      <c r="M60" s="61">
        <v>61</v>
      </c>
      <c r="N60" s="5">
        <f>(20+(170-61)*0.7)</f>
        <v>96.3</v>
      </c>
      <c r="O60" s="1" t="s">
        <v>145</v>
      </c>
    </row>
    <row r="61" spans="1:16">
      <c r="A61" s="22" t="s">
        <v>109</v>
      </c>
      <c r="B61" s="22"/>
      <c r="C61" s="4">
        <v>44209</v>
      </c>
      <c r="D61" s="4"/>
      <c r="E61" s="4">
        <v>44250</v>
      </c>
      <c r="F61" s="5" t="s">
        <v>160</v>
      </c>
      <c r="G61" s="49">
        <v>22.5</v>
      </c>
      <c r="H61" s="5">
        <v>22.83</v>
      </c>
      <c r="I61" s="102">
        <f>100/30*40</f>
        <v>133.33333333333334</v>
      </c>
      <c r="J61" s="5">
        <v>125</v>
      </c>
      <c r="K61" s="5"/>
      <c r="L61" s="6">
        <v>210</v>
      </c>
      <c r="M61" s="61">
        <v>100</v>
      </c>
      <c r="N61" s="6">
        <f>(22.5+87.5*0.7)</f>
        <v>83.75</v>
      </c>
    </row>
    <row r="62" spans="1:16">
      <c r="A62" s="2" t="s">
        <v>113</v>
      </c>
      <c r="B62" s="2"/>
      <c r="C62" s="4">
        <v>44245</v>
      </c>
      <c r="D62" s="4"/>
      <c r="E62" s="4">
        <v>44271</v>
      </c>
      <c r="F62" s="5" t="s">
        <v>160</v>
      </c>
      <c r="G62" s="49">
        <v>15</v>
      </c>
      <c r="H62" s="5">
        <v>26.76</v>
      </c>
      <c r="I62" s="102">
        <f>67/30*28</f>
        <v>62.533333333333331</v>
      </c>
      <c r="J62" s="5"/>
      <c r="K62" s="5"/>
      <c r="L62" s="6">
        <v>140</v>
      </c>
      <c r="M62" s="61">
        <v>67</v>
      </c>
      <c r="N62" s="6">
        <f>(15+0.7*58)</f>
        <v>55.599999999999994</v>
      </c>
    </row>
    <row r="63" spans="1:16">
      <c r="A63" s="2" t="s">
        <v>114</v>
      </c>
      <c r="B63" s="2"/>
      <c r="C63" s="4">
        <v>44222</v>
      </c>
      <c r="D63" s="4"/>
      <c r="E63" s="4">
        <v>44279</v>
      </c>
      <c r="F63" s="5" t="s">
        <v>160</v>
      </c>
      <c r="G63" s="49">
        <v>12.5</v>
      </c>
      <c r="H63" s="5">
        <v>13.4</v>
      </c>
      <c r="I63" s="102">
        <f>56/30*58</f>
        <v>108.26666666666667</v>
      </c>
      <c r="J63" s="5">
        <v>100</v>
      </c>
      <c r="K63" s="5"/>
      <c r="L63" s="6">
        <v>140</v>
      </c>
      <c r="M63" s="61">
        <v>56</v>
      </c>
      <c r="N63" s="5">
        <f>(12.5+71.5*0.7)</f>
        <v>62.55</v>
      </c>
      <c r="O63" s="1" t="s">
        <v>145</v>
      </c>
    </row>
    <row r="64" spans="1:16">
      <c r="A64" s="2" t="s">
        <v>112</v>
      </c>
      <c r="B64" s="2"/>
      <c r="C64" s="4">
        <v>44270</v>
      </c>
      <c r="D64" s="4"/>
      <c r="E64" s="4">
        <v>44286</v>
      </c>
      <c r="F64" s="5" t="s">
        <v>160</v>
      </c>
      <c r="G64" s="49">
        <v>17.5</v>
      </c>
      <c r="H64" s="5">
        <v>31.96</v>
      </c>
      <c r="I64" s="102">
        <f>55/30*16</f>
        <v>29.333333333333332</v>
      </c>
      <c r="J64" s="5">
        <v>75</v>
      </c>
      <c r="K64" s="5"/>
      <c r="L64" s="6">
        <v>100</v>
      </c>
      <c r="M64" s="61">
        <v>55</v>
      </c>
      <c r="N64" s="6">
        <f>(17.5+27.5*0.7)</f>
        <v>36.75</v>
      </c>
    </row>
    <row r="65" spans="1:16">
      <c r="A65" s="2" t="s">
        <v>119</v>
      </c>
      <c r="B65" s="2"/>
      <c r="C65" s="4">
        <v>44281</v>
      </c>
      <c r="D65" s="4"/>
      <c r="E65" s="4">
        <v>44316</v>
      </c>
      <c r="F65" s="40"/>
      <c r="G65" s="2"/>
      <c r="H65" s="5">
        <v>14.26</v>
      </c>
      <c r="I65" s="102">
        <f>45/30*34</f>
        <v>51</v>
      </c>
      <c r="J65" s="5"/>
      <c r="K65" s="5"/>
      <c r="L65" s="6">
        <v>110</v>
      </c>
      <c r="M65" s="61">
        <v>45</v>
      </c>
      <c r="N65" s="6">
        <f>(65*0.7)</f>
        <v>45.5</v>
      </c>
    </row>
    <row r="66" spans="1:16">
      <c r="A66" s="22" t="s">
        <v>121</v>
      </c>
      <c r="B66" s="22"/>
      <c r="C66" s="4">
        <v>44316</v>
      </c>
      <c r="D66" s="4"/>
      <c r="E66" s="4">
        <v>44354</v>
      </c>
      <c r="F66" s="40"/>
      <c r="G66" s="2"/>
      <c r="H66" s="5">
        <v>15.15</v>
      </c>
      <c r="I66" s="102">
        <f>36/30*37</f>
        <v>44.4</v>
      </c>
      <c r="J66" s="5"/>
      <c r="K66" s="5"/>
      <c r="L66" s="6">
        <v>110</v>
      </c>
      <c r="M66" s="61">
        <v>36</v>
      </c>
      <c r="N66" s="5">
        <f>(L66-M66)*0.7</f>
        <v>51.8</v>
      </c>
      <c r="O66" s="1" t="s">
        <v>145</v>
      </c>
    </row>
    <row r="67" spans="1:16">
      <c r="A67" s="22" t="s">
        <v>126</v>
      </c>
      <c r="B67" s="22"/>
      <c r="C67" s="4">
        <v>44336</v>
      </c>
      <c r="D67" s="4"/>
      <c r="E67" s="4">
        <v>44370</v>
      </c>
      <c r="F67" s="5" t="s">
        <v>161</v>
      </c>
      <c r="G67" s="49">
        <v>17.5</v>
      </c>
      <c r="H67" s="5">
        <v>35.78</v>
      </c>
      <c r="I67" s="102">
        <f>58/30*33</f>
        <v>63.8</v>
      </c>
      <c r="J67" s="5">
        <v>50</v>
      </c>
      <c r="K67" s="5"/>
      <c r="L67" s="6">
        <v>150</v>
      </c>
      <c r="M67" s="61">
        <v>58</v>
      </c>
      <c r="N67" s="6">
        <f>(17.5+74.5*0.7)</f>
        <v>69.650000000000006</v>
      </c>
    </row>
    <row r="68" spans="1:16">
      <c r="A68" s="44" t="s">
        <v>125</v>
      </c>
      <c r="B68" s="44"/>
      <c r="C68" s="4">
        <v>44342</v>
      </c>
      <c r="D68" s="4"/>
      <c r="E68" s="4">
        <v>44386</v>
      </c>
      <c r="F68" s="5" t="s">
        <v>160</v>
      </c>
      <c r="G68" s="49">
        <v>12.5</v>
      </c>
      <c r="H68" s="5">
        <v>15.46</v>
      </c>
      <c r="I68" s="102">
        <f>36/30*43</f>
        <v>51.6</v>
      </c>
      <c r="J68" s="5">
        <f>50+45</f>
        <v>95</v>
      </c>
      <c r="K68" s="5"/>
      <c r="L68" s="6">
        <v>80</v>
      </c>
      <c r="M68" s="61">
        <v>33</v>
      </c>
      <c r="N68" s="6">
        <f>12.5+(L68-M68-12.5)*0.7</f>
        <v>36.65</v>
      </c>
    </row>
    <row r="69" spans="1:16">
      <c r="A69" s="44" t="s">
        <v>129</v>
      </c>
      <c r="B69" s="44"/>
      <c r="C69" s="4">
        <v>44348</v>
      </c>
      <c r="D69" s="4"/>
      <c r="E69" s="4">
        <v>44389</v>
      </c>
      <c r="F69" s="5" t="s">
        <v>160</v>
      </c>
      <c r="G69" s="49">
        <v>12.5</v>
      </c>
      <c r="H69" s="5">
        <v>26.22</v>
      </c>
      <c r="I69" s="102">
        <f>71/30*42</f>
        <v>99.4</v>
      </c>
      <c r="J69" s="5">
        <f>50+45</f>
        <v>95</v>
      </c>
      <c r="K69" s="5"/>
      <c r="L69" s="6">
        <v>140</v>
      </c>
      <c r="M69" s="61">
        <v>71</v>
      </c>
      <c r="N69" s="6">
        <f>(12.5+(127.5-71)*0.7)</f>
        <v>52.05</v>
      </c>
    </row>
    <row r="70" spans="1:16">
      <c r="A70" s="44" t="s">
        <v>124</v>
      </c>
      <c r="B70" s="44"/>
      <c r="C70" s="4">
        <v>44348</v>
      </c>
      <c r="D70" s="4"/>
      <c r="E70" s="4">
        <v>44389</v>
      </c>
      <c r="F70" s="40"/>
      <c r="G70" s="2"/>
      <c r="H70" s="5">
        <v>11.62</v>
      </c>
      <c r="I70" s="102">
        <f>26/30*42</f>
        <v>36.4</v>
      </c>
      <c r="J70" s="5">
        <v>65</v>
      </c>
      <c r="K70" s="5"/>
      <c r="L70" s="6">
        <v>70</v>
      </c>
      <c r="M70" s="61">
        <v>26</v>
      </c>
      <c r="N70" s="6">
        <f>(70-26)*0.7</f>
        <v>30.799999999999997</v>
      </c>
    </row>
    <row r="71" spans="1:16">
      <c r="A71" s="44" t="s">
        <v>132</v>
      </c>
      <c r="B71" s="44"/>
      <c r="C71" s="4">
        <v>44407</v>
      </c>
      <c r="D71" s="4"/>
      <c r="E71" s="4">
        <v>44461</v>
      </c>
      <c r="F71" s="40"/>
      <c r="G71" s="2"/>
      <c r="H71" s="5">
        <v>9.8800000000000008</v>
      </c>
      <c r="I71" s="102">
        <f>25/30*52</f>
        <v>43.333333333333336</v>
      </c>
      <c r="J71" s="5"/>
      <c r="K71" s="5"/>
      <c r="L71" s="6">
        <v>40</v>
      </c>
      <c r="M71" s="61">
        <v>25</v>
      </c>
      <c r="N71" s="6">
        <f>(L71-M71)*0.7</f>
        <v>10.5</v>
      </c>
    </row>
    <row r="72" spans="1:16">
      <c r="A72" s="44" t="s">
        <v>133</v>
      </c>
      <c r="B72" s="44"/>
      <c r="C72" s="4">
        <v>44432</v>
      </c>
      <c r="D72" s="4"/>
      <c r="E72" s="4">
        <v>44467</v>
      </c>
      <c r="F72" s="40"/>
      <c r="G72" s="2"/>
      <c r="H72" s="5">
        <v>9.8800000000000008</v>
      </c>
      <c r="I72" s="102">
        <f>25/30*34</f>
        <v>28.333333333333336</v>
      </c>
      <c r="J72" s="5"/>
      <c r="K72" s="5"/>
      <c r="L72" s="6">
        <v>40</v>
      </c>
      <c r="M72" s="61">
        <v>25</v>
      </c>
      <c r="N72" s="6">
        <f>(L72-M72)*0.7</f>
        <v>10.5</v>
      </c>
    </row>
    <row r="73" spans="1:16">
      <c r="A73" s="52" t="s">
        <v>141</v>
      </c>
      <c r="B73" s="52"/>
      <c r="C73" s="57">
        <v>44459</v>
      </c>
      <c r="D73" s="57"/>
      <c r="E73" s="57">
        <v>44481</v>
      </c>
      <c r="F73" s="10" t="s">
        <v>161</v>
      </c>
      <c r="G73" s="12">
        <v>10</v>
      </c>
      <c r="H73" s="25">
        <v>15.15</v>
      </c>
      <c r="I73" s="103">
        <f>46/30*22</f>
        <v>33.733333333333334</v>
      </c>
      <c r="J73" s="25">
        <v>80</v>
      </c>
      <c r="K73" s="25"/>
      <c r="L73" s="27">
        <v>120</v>
      </c>
      <c r="M73" s="64">
        <v>46</v>
      </c>
      <c r="N73" s="27">
        <f>10+(120-56)*0.7</f>
        <v>54.8</v>
      </c>
    </row>
    <row r="74" spans="1:16">
      <c r="A74" s="52" t="s">
        <v>140</v>
      </c>
      <c r="B74" s="52"/>
      <c r="C74" s="57">
        <v>44449</v>
      </c>
      <c r="D74" s="57"/>
      <c r="E74" s="57">
        <v>44482</v>
      </c>
      <c r="F74" s="25" t="s">
        <v>160</v>
      </c>
      <c r="G74" s="58">
        <v>10</v>
      </c>
      <c r="H74" s="25">
        <v>13.4</v>
      </c>
      <c r="I74" s="103">
        <f>60/30*33</f>
        <v>66</v>
      </c>
      <c r="J74" s="25">
        <v>80</v>
      </c>
      <c r="K74" s="25"/>
      <c r="L74" s="27">
        <v>120</v>
      </c>
      <c r="M74" s="64">
        <v>61</v>
      </c>
      <c r="N74" s="27">
        <f>(10+49*0.7)</f>
        <v>44.3</v>
      </c>
    </row>
    <row r="75" spans="1:16">
      <c r="A75" s="44" t="s">
        <v>137</v>
      </c>
      <c r="B75" s="44"/>
      <c r="C75" s="35">
        <v>44474</v>
      </c>
      <c r="D75" s="35"/>
      <c r="E75" s="35">
        <v>44487</v>
      </c>
      <c r="F75" s="10" t="s">
        <v>161</v>
      </c>
      <c r="G75" s="12">
        <v>12.5</v>
      </c>
      <c r="H75" s="5">
        <v>15.15</v>
      </c>
      <c r="I75" s="102">
        <f>71/30*13</f>
        <v>30.766666666666666</v>
      </c>
      <c r="J75" s="5">
        <v>95</v>
      </c>
      <c r="K75" s="5"/>
      <c r="L75" s="6">
        <v>140</v>
      </c>
      <c r="M75" s="61">
        <v>71</v>
      </c>
      <c r="N75" s="6">
        <f>12.5+(56.5)*0.7</f>
        <v>52.05</v>
      </c>
    </row>
    <row r="76" spans="1:16">
      <c r="A76" s="44" t="s">
        <v>143</v>
      </c>
      <c r="B76" s="44"/>
      <c r="C76" s="35">
        <v>43717</v>
      </c>
      <c r="D76" s="35"/>
      <c r="E76" s="35">
        <v>44505</v>
      </c>
      <c r="F76" s="40"/>
      <c r="G76" s="49"/>
      <c r="H76" s="5">
        <v>13.4</v>
      </c>
      <c r="I76" s="102">
        <f>36*25+36/30*26</f>
        <v>931.2</v>
      </c>
      <c r="J76" s="5"/>
      <c r="K76" s="5"/>
      <c r="L76" s="6">
        <v>100</v>
      </c>
      <c r="M76" s="61">
        <v>36</v>
      </c>
      <c r="N76" s="6">
        <f>(100-36)*0.7</f>
        <v>44.8</v>
      </c>
    </row>
    <row r="77" spans="1:16">
      <c r="A77" s="44" t="s">
        <v>139</v>
      </c>
      <c r="B77" s="44"/>
      <c r="C77" s="35">
        <v>44492</v>
      </c>
      <c r="D77" s="35"/>
      <c r="E77" s="35">
        <v>44539</v>
      </c>
      <c r="F77" s="40"/>
      <c r="G77" s="49"/>
      <c r="H77" s="5">
        <v>16.350000000000001</v>
      </c>
      <c r="I77" s="102">
        <f>71/30*46</f>
        <v>108.86666666666667</v>
      </c>
      <c r="J77" s="5">
        <v>95</v>
      </c>
      <c r="K77" s="5"/>
      <c r="L77" s="6">
        <v>140</v>
      </c>
      <c r="M77" s="61">
        <v>71</v>
      </c>
      <c r="N77" s="12">
        <f>(140-71)*0.7</f>
        <v>48.3</v>
      </c>
      <c r="O77" s="72" t="s">
        <v>329</v>
      </c>
      <c r="P77" s="72">
        <v>33.81</v>
      </c>
    </row>
    <row r="78" spans="1:16">
      <c r="A78" s="44" t="s">
        <v>144</v>
      </c>
      <c r="B78" s="44"/>
      <c r="C78" s="35">
        <v>44526</v>
      </c>
      <c r="D78" s="35"/>
      <c r="E78" s="35">
        <v>44550</v>
      </c>
      <c r="F78" s="5" t="s">
        <v>160</v>
      </c>
      <c r="G78" s="49">
        <v>12.5</v>
      </c>
      <c r="H78" s="5">
        <v>13.4</v>
      </c>
      <c r="I78" s="102">
        <f>83/30*24</f>
        <v>66.400000000000006</v>
      </c>
      <c r="J78" s="5"/>
      <c r="K78" s="5"/>
      <c r="L78" s="6">
        <v>140</v>
      </c>
      <c r="M78" s="61">
        <v>94</v>
      </c>
      <c r="N78" s="6">
        <f>12.5+(140-12.5-94)*0.7</f>
        <v>35.950000000000003</v>
      </c>
    </row>
    <row r="79" spans="1:16">
      <c r="A79" s="44" t="s">
        <v>149</v>
      </c>
      <c r="B79" s="44"/>
      <c r="C79" s="35">
        <v>44880</v>
      </c>
      <c r="D79" s="35"/>
      <c r="E79" s="35">
        <v>44575</v>
      </c>
      <c r="F79" s="40"/>
      <c r="G79" s="49"/>
      <c r="H79" s="5">
        <v>13.4</v>
      </c>
      <c r="I79" s="102"/>
      <c r="J79" s="5">
        <v>50</v>
      </c>
      <c r="K79" s="5"/>
      <c r="L79" s="6">
        <v>160</v>
      </c>
      <c r="M79" s="61">
        <f>71+9</f>
        <v>80</v>
      </c>
      <c r="N79" s="6">
        <f>(160-80)*0.7</f>
        <v>56</v>
      </c>
    </row>
    <row r="80" spans="1:16">
      <c r="A80" s="44" t="s">
        <v>146</v>
      </c>
      <c r="B80" s="44"/>
      <c r="C80" s="4">
        <v>44586</v>
      </c>
      <c r="D80" s="4"/>
      <c r="E80" s="4">
        <v>44615</v>
      </c>
      <c r="F80" s="10" t="s">
        <v>161</v>
      </c>
      <c r="G80" s="12">
        <v>12.5</v>
      </c>
      <c r="H80" s="5">
        <v>15.46</v>
      </c>
      <c r="I80" s="102">
        <f>27/30*28</f>
        <v>25.2</v>
      </c>
      <c r="J80" s="5">
        <v>110</v>
      </c>
      <c r="K80" s="5"/>
      <c r="L80" s="6">
        <v>154</v>
      </c>
      <c r="M80" s="61">
        <v>62</v>
      </c>
      <c r="N80" s="6">
        <f>12.5+(154-12.5-62)*0.7</f>
        <v>68.150000000000006</v>
      </c>
    </row>
    <row r="81" spans="1:14">
      <c r="A81" s="44" t="s">
        <v>148</v>
      </c>
      <c r="B81" s="44"/>
      <c r="C81" s="4">
        <v>44579</v>
      </c>
      <c r="D81" s="4"/>
      <c r="E81" s="4">
        <v>44594</v>
      </c>
      <c r="F81" s="40"/>
      <c r="G81" s="49"/>
      <c r="H81" s="5">
        <v>13.4</v>
      </c>
      <c r="I81" s="102">
        <f>22/30*14</f>
        <v>10.266666666666666</v>
      </c>
      <c r="J81" s="5">
        <v>30</v>
      </c>
      <c r="K81" s="5"/>
      <c r="L81" s="6">
        <v>50</v>
      </c>
      <c r="M81" s="61">
        <v>22</v>
      </c>
      <c r="N81" s="6">
        <f>(50-22)*0.7</f>
        <v>19.599999999999998</v>
      </c>
    </row>
    <row r="82" spans="1:14">
      <c r="A82" s="44" t="s">
        <v>150</v>
      </c>
      <c r="B82" s="44"/>
      <c r="C82" s="4">
        <v>44899</v>
      </c>
      <c r="D82" s="4"/>
      <c r="E82" s="4">
        <v>44607</v>
      </c>
      <c r="F82" s="12" t="s">
        <v>160</v>
      </c>
      <c r="G82" s="12">
        <v>12.5</v>
      </c>
      <c r="H82" s="5">
        <v>13.4</v>
      </c>
      <c r="I82" s="102">
        <f>71/30*61</f>
        <v>144.36666666666667</v>
      </c>
      <c r="J82" s="5">
        <v>80</v>
      </c>
      <c r="K82" s="5"/>
      <c r="L82" s="6">
        <v>120</v>
      </c>
      <c r="M82" s="61">
        <v>60</v>
      </c>
      <c r="N82" s="6">
        <f>12.5+(120-72.5)*0.7</f>
        <v>45.75</v>
      </c>
    </row>
    <row r="83" spans="1:14">
      <c r="A83" s="44" t="s">
        <v>151</v>
      </c>
      <c r="B83" s="44"/>
      <c r="C83" s="4">
        <v>44926</v>
      </c>
      <c r="D83" s="4"/>
      <c r="E83" s="4">
        <v>44649</v>
      </c>
      <c r="F83" s="40"/>
      <c r="G83" s="40"/>
      <c r="H83" s="5">
        <v>9.0299999999999994</v>
      </c>
      <c r="I83" s="102">
        <f>25*2+25/30*29</f>
        <v>74.166666666666671</v>
      </c>
      <c r="J83" s="5">
        <v>80</v>
      </c>
      <c r="K83" s="5"/>
      <c r="L83" s="6">
        <v>67.5</v>
      </c>
      <c r="M83" s="61">
        <v>25</v>
      </c>
      <c r="N83" s="6">
        <f>(67.5-25)*0.7</f>
        <v>29.749999999999996</v>
      </c>
    </row>
    <row r="84" spans="1:14">
      <c r="A84" s="44" t="s">
        <v>152</v>
      </c>
      <c r="B84" s="44"/>
      <c r="C84" s="4">
        <v>44852</v>
      </c>
      <c r="D84" s="4"/>
      <c r="E84" s="4">
        <v>44649</v>
      </c>
      <c r="F84" s="40"/>
      <c r="G84" s="40"/>
      <c r="H84" s="5">
        <v>9.0299999999999994</v>
      </c>
      <c r="I84" s="102">
        <f>45*4+45/30*13</f>
        <v>199.5</v>
      </c>
      <c r="J84" s="5">
        <v>80</v>
      </c>
      <c r="K84" s="5"/>
      <c r="L84" s="6">
        <v>67.5</v>
      </c>
      <c r="M84" s="61">
        <v>45</v>
      </c>
      <c r="N84" s="6">
        <f>(L84-M84)*0.7</f>
        <v>15.749999999999998</v>
      </c>
    </row>
    <row r="85" spans="1:14">
      <c r="A85" s="44" t="s">
        <v>153</v>
      </c>
      <c r="B85" s="44"/>
      <c r="C85" s="4">
        <v>44623</v>
      </c>
      <c r="D85" s="4"/>
      <c r="E85" s="4">
        <v>44623</v>
      </c>
      <c r="F85" s="40"/>
      <c r="G85" s="40"/>
      <c r="H85" s="5">
        <v>11.03</v>
      </c>
      <c r="I85" s="102">
        <v>0</v>
      </c>
      <c r="J85" s="5">
        <v>15</v>
      </c>
      <c r="K85" s="5"/>
      <c r="L85" s="6">
        <v>30</v>
      </c>
      <c r="M85" s="61">
        <v>12</v>
      </c>
      <c r="N85" s="6">
        <f>(L85-M85)*0.7</f>
        <v>12.6</v>
      </c>
    </row>
    <row r="86" spans="1:14">
      <c r="A86" s="44" t="s">
        <v>154</v>
      </c>
      <c r="B86" s="44"/>
      <c r="C86" s="4">
        <v>44881</v>
      </c>
      <c r="D86" s="4"/>
      <c r="E86" s="4">
        <v>44628</v>
      </c>
      <c r="F86" s="40"/>
      <c r="G86" s="40"/>
      <c r="H86" s="5">
        <v>9.0299999999999994</v>
      </c>
      <c r="I86" s="102">
        <f>65*3+65/30*22</f>
        <v>242.66666666666666</v>
      </c>
      <c r="J86" s="5">
        <v>95</v>
      </c>
      <c r="K86" s="5"/>
      <c r="L86" s="6">
        <v>112</v>
      </c>
      <c r="M86" s="61">
        <v>65</v>
      </c>
      <c r="N86" s="6">
        <f>(L86-M86)*0.7</f>
        <v>32.9</v>
      </c>
    </row>
    <row r="87" spans="1:14">
      <c r="A87" s="44" t="s">
        <v>155</v>
      </c>
      <c r="B87" s="44"/>
      <c r="C87" s="4">
        <v>44490</v>
      </c>
      <c r="D87" s="4"/>
      <c r="E87" s="4">
        <v>44648</v>
      </c>
      <c r="F87" s="40"/>
      <c r="G87" s="40"/>
      <c r="H87" s="5">
        <v>13.4</v>
      </c>
      <c r="I87" s="102">
        <f>45*5+45/30*7</f>
        <v>235.5</v>
      </c>
      <c r="J87" s="5">
        <v>80</v>
      </c>
      <c r="K87" s="5"/>
      <c r="L87" s="6">
        <v>67.5</v>
      </c>
      <c r="M87" s="61">
        <v>45</v>
      </c>
      <c r="N87" s="6">
        <f>(L87-M87)*0.7</f>
        <v>15.749999999999998</v>
      </c>
    </row>
    <row r="88" spans="1:14">
      <c r="A88" s="44" t="s">
        <v>156</v>
      </c>
      <c r="B88" s="44"/>
      <c r="C88" s="4">
        <v>44489</v>
      </c>
      <c r="D88" s="4"/>
      <c r="E88" s="4">
        <v>44651</v>
      </c>
      <c r="F88" s="40"/>
      <c r="G88" s="40"/>
      <c r="H88" s="5">
        <v>15.46</v>
      </c>
      <c r="I88" s="102">
        <f>50*5+50/10</f>
        <v>255</v>
      </c>
      <c r="J88" s="5">
        <v>145</v>
      </c>
      <c r="K88" s="5"/>
      <c r="L88" s="6">
        <v>125</v>
      </c>
      <c r="M88" s="61">
        <v>50</v>
      </c>
      <c r="N88" s="6">
        <f>(L88-M88)*0.7</f>
        <v>52.5</v>
      </c>
    </row>
    <row r="89" spans="1:14">
      <c r="A89" s="44" t="s">
        <v>157</v>
      </c>
      <c r="B89" s="44"/>
      <c r="C89" s="4">
        <v>44627</v>
      </c>
      <c r="D89" s="4"/>
      <c r="E89" s="4">
        <v>44627</v>
      </c>
      <c r="F89" s="10" t="s">
        <v>161</v>
      </c>
      <c r="G89" s="12">
        <v>10</v>
      </c>
      <c r="H89" s="5">
        <v>15.46</v>
      </c>
      <c r="I89" s="102">
        <v>0</v>
      </c>
      <c r="J89" s="5">
        <v>0</v>
      </c>
      <c r="K89" s="5"/>
      <c r="L89" s="6">
        <v>100</v>
      </c>
      <c r="M89" s="61">
        <v>44</v>
      </c>
      <c r="N89" s="6">
        <f>10+(46)*0.7</f>
        <v>42.199999999999996</v>
      </c>
    </row>
    <row r="90" spans="1:14">
      <c r="A90" s="44" t="s">
        <v>158</v>
      </c>
      <c r="B90" s="44"/>
      <c r="C90" s="4">
        <v>44627</v>
      </c>
      <c r="D90" s="4"/>
      <c r="E90" s="4">
        <v>44627</v>
      </c>
      <c r="F90" s="10" t="s">
        <v>161</v>
      </c>
      <c r="G90" s="12">
        <v>12.5</v>
      </c>
      <c r="H90" s="5">
        <v>15.46</v>
      </c>
      <c r="I90" s="102">
        <v>0</v>
      </c>
      <c r="J90" s="5">
        <v>0</v>
      </c>
      <c r="K90" s="5"/>
      <c r="L90" s="6">
        <v>125</v>
      </c>
      <c r="M90" s="61">
        <v>55</v>
      </c>
      <c r="N90" s="6">
        <f>12.5+(57.5)*0.7</f>
        <v>52.75</v>
      </c>
    </row>
    <row r="91" spans="1:14">
      <c r="A91" s="44" t="s">
        <v>168</v>
      </c>
      <c r="B91" s="44"/>
      <c r="C91" s="4">
        <v>44636</v>
      </c>
      <c r="D91" s="4"/>
      <c r="E91" s="4">
        <v>44659</v>
      </c>
      <c r="F91" s="40"/>
      <c r="G91" s="5"/>
      <c r="H91" s="5">
        <v>13.72</v>
      </c>
      <c r="I91" s="102">
        <f>55/30*24</f>
        <v>44</v>
      </c>
      <c r="J91" s="5">
        <v>80</v>
      </c>
      <c r="K91" s="5"/>
      <c r="L91" s="6">
        <v>120</v>
      </c>
      <c r="M91" s="61">
        <v>55</v>
      </c>
      <c r="N91" s="6">
        <f>10+(110-M91)*0.7</f>
        <v>48.5</v>
      </c>
    </row>
    <row r="92" spans="1:14">
      <c r="A92" s="44" t="s">
        <v>171</v>
      </c>
      <c r="B92" s="44"/>
      <c r="C92" s="4">
        <v>44648</v>
      </c>
      <c r="D92" s="4"/>
      <c r="E92" s="4">
        <v>44734</v>
      </c>
      <c r="F92" s="40"/>
      <c r="G92" s="5"/>
      <c r="H92" s="5">
        <v>13.72</v>
      </c>
      <c r="I92" s="102">
        <f>56/30*84</f>
        <v>156.80000000000001</v>
      </c>
      <c r="J92" s="5">
        <v>95</v>
      </c>
      <c r="K92" s="5"/>
      <c r="L92" s="6">
        <v>140</v>
      </c>
      <c r="M92" s="61">
        <v>56</v>
      </c>
      <c r="N92" s="6">
        <f>(140-56)*0.7</f>
        <v>58.8</v>
      </c>
    </row>
    <row r="93" spans="1:14">
      <c r="A93" s="44" t="s">
        <v>172</v>
      </c>
      <c r="B93" s="44"/>
      <c r="C93" s="4">
        <v>44705</v>
      </c>
      <c r="D93" s="4"/>
      <c r="E93" s="4">
        <v>44715</v>
      </c>
      <c r="F93" s="40"/>
      <c r="G93" s="5"/>
      <c r="H93" s="5">
        <v>10.039999999999999</v>
      </c>
      <c r="I93" s="102">
        <f>25/30*9</f>
        <v>7.5</v>
      </c>
      <c r="J93" s="5"/>
      <c r="K93" s="5"/>
      <c r="L93" s="6">
        <v>50</v>
      </c>
      <c r="M93" s="61">
        <v>25</v>
      </c>
      <c r="N93" s="6">
        <f>(50-25)*0.7</f>
        <v>17.5</v>
      </c>
    </row>
    <row r="94" spans="1:14">
      <c r="A94" s="44" t="s">
        <v>173</v>
      </c>
      <c r="B94" s="44"/>
      <c r="C94" s="4">
        <v>44704</v>
      </c>
      <c r="D94" s="4"/>
      <c r="E94" s="4">
        <v>44721</v>
      </c>
      <c r="F94" s="10" t="s">
        <v>161</v>
      </c>
      <c r="G94" s="56">
        <v>12.5</v>
      </c>
      <c r="H94" s="5">
        <v>13.72</v>
      </c>
      <c r="I94" s="102">
        <f>37/30*16</f>
        <v>19.733333333333334</v>
      </c>
      <c r="J94" s="5">
        <f>50+45</f>
        <v>95</v>
      </c>
      <c r="K94" s="5"/>
      <c r="L94" s="6">
        <v>110</v>
      </c>
      <c r="M94" s="61">
        <v>37</v>
      </c>
      <c r="N94" s="56">
        <f>12.5+(97.5-37)*0.7</f>
        <v>54.849999999999994</v>
      </c>
    </row>
    <row r="95" spans="1:14">
      <c r="A95" s="44" t="s">
        <v>174</v>
      </c>
      <c r="B95" s="44"/>
      <c r="C95" s="4">
        <v>44715</v>
      </c>
      <c r="D95" s="4"/>
      <c r="E95" s="4">
        <v>44820</v>
      </c>
      <c r="F95" s="10" t="s">
        <v>161</v>
      </c>
      <c r="G95" s="56">
        <v>15</v>
      </c>
      <c r="H95" s="5">
        <v>14.6</v>
      </c>
      <c r="I95" s="102">
        <f>56/30*103</f>
        <v>192.26666666666668</v>
      </c>
      <c r="J95" s="5">
        <v>50</v>
      </c>
      <c r="K95" s="5"/>
      <c r="L95" s="6">
        <f>130</f>
        <v>130</v>
      </c>
      <c r="M95" s="61">
        <v>56</v>
      </c>
      <c r="N95" s="56">
        <f>15+(115-56)*0.7</f>
        <v>56.3</v>
      </c>
    </row>
    <row r="96" spans="1:14">
      <c r="A96" s="44" t="s">
        <v>183</v>
      </c>
      <c r="B96" s="44"/>
      <c r="C96" s="4">
        <v>44749</v>
      </c>
      <c r="D96" s="4">
        <v>44830</v>
      </c>
      <c r="E96" s="4">
        <v>44858</v>
      </c>
      <c r="F96" s="40"/>
      <c r="G96" s="5"/>
      <c r="H96" s="5">
        <v>11.03</v>
      </c>
      <c r="I96" s="102">
        <v>25</v>
      </c>
      <c r="J96" s="5">
        <v>15</v>
      </c>
      <c r="K96" s="5"/>
      <c r="L96" s="6">
        <v>80</v>
      </c>
      <c r="M96" s="61">
        <v>25</v>
      </c>
      <c r="N96" s="6">
        <f>55*0.7</f>
        <v>38.5</v>
      </c>
    </row>
    <row r="97" spans="1:14">
      <c r="A97" s="44" t="s">
        <v>184</v>
      </c>
      <c r="B97" s="44"/>
      <c r="C97" s="4">
        <v>44775</v>
      </c>
      <c r="D97" s="4">
        <v>44810</v>
      </c>
      <c r="E97" s="4">
        <v>44848</v>
      </c>
      <c r="F97" s="40"/>
      <c r="G97" s="5"/>
      <c r="H97" s="5">
        <v>23.38</v>
      </c>
      <c r="I97" s="102">
        <f>100/30*38</f>
        <v>126.66666666666667</v>
      </c>
      <c r="J97" s="5">
        <v>155</v>
      </c>
      <c r="K97" s="5"/>
      <c r="L97" s="6">
        <v>220</v>
      </c>
      <c r="M97" s="61">
        <v>100</v>
      </c>
      <c r="N97" s="6">
        <v>90.75</v>
      </c>
    </row>
    <row r="98" spans="1:14">
      <c r="A98" s="44" t="s">
        <v>185</v>
      </c>
      <c r="B98" s="44"/>
      <c r="C98" s="4">
        <v>44830</v>
      </c>
      <c r="D98" s="4">
        <v>44852</v>
      </c>
      <c r="E98" s="4">
        <v>44858</v>
      </c>
      <c r="F98" s="10" t="s">
        <v>161</v>
      </c>
      <c r="G98" s="12">
        <v>15</v>
      </c>
      <c r="H98" s="5">
        <v>23.38</v>
      </c>
      <c r="I98" s="102">
        <f>54.5/30*6</f>
        <v>10.9</v>
      </c>
      <c r="J98" s="5">
        <v>95</v>
      </c>
      <c r="K98" s="5"/>
      <c r="L98" s="6">
        <v>160</v>
      </c>
      <c r="M98" s="61">
        <v>64.5</v>
      </c>
      <c r="N98" s="6">
        <f>15+(145-64.5)*0.7</f>
        <v>71.349999999999994</v>
      </c>
    </row>
    <row r="99" spans="1:14">
      <c r="A99" s="44" t="s">
        <v>190</v>
      </c>
      <c r="B99" s="44"/>
      <c r="C99" s="4"/>
      <c r="D99" s="4">
        <v>44879</v>
      </c>
      <c r="E99" s="35">
        <v>44887</v>
      </c>
      <c r="F99" s="44" t="s">
        <v>161</v>
      </c>
      <c r="G99" s="56">
        <v>10</v>
      </c>
      <c r="H99" s="5">
        <v>14.6</v>
      </c>
      <c r="I99" s="102">
        <f>34/30*8</f>
        <v>9.0666666666666664</v>
      </c>
      <c r="J99" s="5">
        <v>45</v>
      </c>
      <c r="K99" s="5"/>
      <c r="L99" s="6">
        <v>90</v>
      </c>
      <c r="M99" s="61">
        <v>34</v>
      </c>
      <c r="N99" s="56">
        <f>10+(80-34)*0.7</f>
        <v>42.199999999999996</v>
      </c>
    </row>
    <row r="100" spans="1:14">
      <c r="A100" s="44" t="s">
        <v>193</v>
      </c>
      <c r="B100" s="44"/>
      <c r="C100" s="4">
        <v>44872</v>
      </c>
      <c r="D100" s="4">
        <v>44879</v>
      </c>
      <c r="E100" s="35">
        <v>44882</v>
      </c>
      <c r="F100" s="40"/>
      <c r="G100" s="5"/>
      <c r="H100" s="5">
        <v>10.039999999999999</v>
      </c>
      <c r="I100" s="102">
        <f>25/30*3</f>
        <v>2.5</v>
      </c>
      <c r="J100" s="5"/>
      <c r="K100" s="5"/>
      <c r="L100" s="6">
        <v>40</v>
      </c>
      <c r="M100" s="61">
        <v>25</v>
      </c>
      <c r="N100" s="6">
        <f>(L100-M100)*0.7</f>
        <v>10.5</v>
      </c>
    </row>
    <row r="101" spans="1:14">
      <c r="A101" s="44" t="s">
        <v>213</v>
      </c>
      <c r="B101" s="44"/>
      <c r="C101" s="4">
        <v>44894</v>
      </c>
      <c r="D101" s="4">
        <v>44908</v>
      </c>
      <c r="E101" s="35">
        <v>44944</v>
      </c>
      <c r="F101" s="40" t="s">
        <v>161</v>
      </c>
      <c r="G101" s="5">
        <v>15</v>
      </c>
      <c r="H101" s="5">
        <v>31.72</v>
      </c>
      <c r="I101" s="102">
        <f>50/30*35</f>
        <v>58.333333333333336</v>
      </c>
      <c r="J101" s="5">
        <f>60+50</f>
        <v>110</v>
      </c>
      <c r="K101" s="5"/>
      <c r="L101" s="6">
        <v>130</v>
      </c>
      <c r="M101" s="61">
        <f>19+2+3.5*2+11*2</f>
        <v>50</v>
      </c>
      <c r="N101" s="94">
        <f>15+(L101-M101-15)*0.7</f>
        <v>60.5</v>
      </c>
    </row>
    <row r="102" spans="1:14">
      <c r="A102" s="44" t="s">
        <v>227</v>
      </c>
      <c r="B102" s="44"/>
      <c r="C102" s="4">
        <v>44949</v>
      </c>
      <c r="D102" s="4">
        <v>44953</v>
      </c>
      <c r="E102" s="35">
        <v>44966</v>
      </c>
      <c r="F102" s="40" t="s">
        <v>160</v>
      </c>
      <c r="G102" s="5">
        <v>15</v>
      </c>
      <c r="H102" s="5">
        <v>16.38</v>
      </c>
      <c r="I102" s="102">
        <f>61.5/30*12</f>
        <v>24.599999999999998</v>
      </c>
      <c r="J102" s="5">
        <f>50+60</f>
        <v>110</v>
      </c>
      <c r="K102" s="5"/>
      <c r="L102" s="6">
        <v>160</v>
      </c>
      <c r="M102" s="65">
        <f>32.5+7+22</f>
        <v>61.5</v>
      </c>
      <c r="N102" s="59">
        <f>15+(L102-M102-15)*0.7</f>
        <v>73.449999999999989</v>
      </c>
    </row>
    <row r="103" spans="1:14">
      <c r="A103" s="44" t="s">
        <v>228</v>
      </c>
      <c r="B103" s="44"/>
      <c r="C103" s="4">
        <v>44957</v>
      </c>
      <c r="D103" s="4">
        <v>44957</v>
      </c>
      <c r="E103" s="35">
        <v>44977</v>
      </c>
      <c r="F103" s="40"/>
      <c r="G103" s="5"/>
      <c r="H103" s="5">
        <v>20.61</v>
      </c>
      <c r="I103" s="102">
        <f>66/30*20</f>
        <v>44</v>
      </c>
      <c r="J103" s="5">
        <v>90</v>
      </c>
      <c r="K103" s="5"/>
      <c r="L103" s="6">
        <v>155</v>
      </c>
      <c r="M103" s="65">
        <v>54</v>
      </c>
      <c r="N103" s="59">
        <f>(L103-M103)*0.7</f>
        <v>70.699999999999989</v>
      </c>
    </row>
    <row r="104" spans="1:14">
      <c r="A104" s="44" t="s">
        <v>255</v>
      </c>
      <c r="B104" s="44"/>
      <c r="C104" s="35">
        <v>44691</v>
      </c>
      <c r="D104" s="35">
        <v>44994</v>
      </c>
      <c r="E104" s="4">
        <v>44994</v>
      </c>
      <c r="F104" s="40"/>
      <c r="G104" s="40"/>
      <c r="H104" s="5">
        <v>11.03</v>
      </c>
      <c r="I104" s="102">
        <f>25*14</f>
        <v>350</v>
      </c>
      <c r="J104" s="40">
        <f>30+50</f>
        <v>80</v>
      </c>
      <c r="K104" s="40"/>
      <c r="L104" s="6">
        <v>90</v>
      </c>
      <c r="M104" s="6">
        <v>25</v>
      </c>
      <c r="N104" s="59">
        <v>48.5</v>
      </c>
    </row>
    <row r="105" spans="1:14">
      <c r="A105" s="44" t="s">
        <v>187</v>
      </c>
      <c r="B105" s="44"/>
      <c r="C105" s="35"/>
      <c r="D105" s="35">
        <v>44991</v>
      </c>
      <c r="E105" s="4">
        <v>44991</v>
      </c>
      <c r="F105" s="40"/>
      <c r="G105" s="40"/>
      <c r="H105" s="5">
        <v>13.31</v>
      </c>
      <c r="I105" s="102"/>
      <c r="J105" s="40">
        <v>45</v>
      </c>
      <c r="K105" s="40"/>
      <c r="L105" s="6">
        <v>80</v>
      </c>
      <c r="M105" s="6">
        <v>27</v>
      </c>
      <c r="N105" s="59">
        <f>(L105-M105)*0.7</f>
        <v>37.099999999999994</v>
      </c>
    </row>
    <row r="106" spans="1:14">
      <c r="A106" s="76" t="s">
        <v>276</v>
      </c>
      <c r="B106" s="44"/>
      <c r="C106" s="35">
        <v>45061</v>
      </c>
      <c r="D106" s="35">
        <v>45070</v>
      </c>
      <c r="E106" s="4"/>
      <c r="F106" s="40"/>
      <c r="G106" s="40"/>
      <c r="H106" s="5">
        <v>11.48</v>
      </c>
      <c r="I106" s="102">
        <f>21/30*9</f>
        <v>6.3</v>
      </c>
      <c r="J106" s="40"/>
      <c r="K106" s="40"/>
      <c r="L106" s="17">
        <f>50</f>
        <v>50</v>
      </c>
      <c r="M106" s="18">
        <v>21</v>
      </c>
      <c r="N106" s="70">
        <f>(50-21)*0.7</f>
        <v>20.299999999999997</v>
      </c>
    </row>
    <row r="107" spans="1:14">
      <c r="A107" s="76" t="s">
        <v>279</v>
      </c>
      <c r="B107" s="44"/>
      <c r="C107" s="35">
        <v>45065</v>
      </c>
      <c r="D107" s="35">
        <v>45070</v>
      </c>
      <c r="E107" s="4"/>
      <c r="F107" s="40"/>
      <c r="G107" s="40"/>
      <c r="H107" s="5">
        <v>11.48</v>
      </c>
      <c r="I107" s="102">
        <f>21/30*5</f>
        <v>3.5</v>
      </c>
      <c r="J107" s="40"/>
      <c r="K107" s="40"/>
      <c r="L107" s="17">
        <f>50</f>
        <v>50</v>
      </c>
      <c r="M107" s="18">
        <v>21</v>
      </c>
      <c r="N107" s="70">
        <f>(50-21)*0.7</f>
        <v>20.299999999999997</v>
      </c>
    </row>
    <row r="108" spans="1:14">
      <c r="A108" s="76" t="s">
        <v>278</v>
      </c>
      <c r="B108" s="52"/>
      <c r="C108" s="57">
        <v>44973</v>
      </c>
      <c r="D108" s="57">
        <v>45070</v>
      </c>
      <c r="E108" s="24"/>
      <c r="F108" s="48"/>
      <c r="G108" s="48"/>
      <c r="H108" s="25">
        <v>11.48</v>
      </c>
      <c r="I108" s="103">
        <f>21/30*98</f>
        <v>68.599999999999994</v>
      </c>
      <c r="J108" s="48"/>
      <c r="K108" s="48"/>
      <c r="L108" s="17">
        <v>50</v>
      </c>
      <c r="M108" s="26">
        <v>21</v>
      </c>
      <c r="N108" s="85">
        <f>(50-21)*0.7</f>
        <v>20.299999999999997</v>
      </c>
    </row>
    <row r="109" spans="1:14">
      <c r="A109" s="44" t="s">
        <v>289</v>
      </c>
      <c r="B109" s="44"/>
      <c r="C109" s="35">
        <v>45110</v>
      </c>
      <c r="D109" s="35">
        <v>45127</v>
      </c>
      <c r="E109" s="4">
        <v>45110</v>
      </c>
      <c r="F109" s="40"/>
      <c r="G109" s="40"/>
      <c r="H109" s="5">
        <v>13.31</v>
      </c>
      <c r="I109" s="102">
        <f>27/30*17</f>
        <v>15.3</v>
      </c>
      <c r="J109" s="40">
        <v>45</v>
      </c>
      <c r="K109" s="40"/>
      <c r="L109" s="6">
        <v>75</v>
      </c>
      <c r="M109" s="6">
        <v>27</v>
      </c>
      <c r="N109" s="59">
        <f>(L109-M109)*0.7</f>
        <v>33.599999999999994</v>
      </c>
    </row>
    <row r="110" spans="1:14">
      <c r="A110" s="44" t="s">
        <v>292</v>
      </c>
      <c r="B110" s="44"/>
      <c r="C110" s="35">
        <v>45138</v>
      </c>
      <c r="D110" s="35">
        <v>45139</v>
      </c>
      <c r="E110" s="35">
        <v>45162</v>
      </c>
      <c r="F110" s="40"/>
      <c r="G110" s="40"/>
      <c r="H110" s="5">
        <v>12.48</v>
      </c>
      <c r="I110" s="102">
        <f>27/30*23</f>
        <v>20.7</v>
      </c>
      <c r="J110" s="40">
        <v>45</v>
      </c>
      <c r="K110" s="40"/>
      <c r="L110" s="6">
        <v>90</v>
      </c>
      <c r="M110" s="6">
        <v>27</v>
      </c>
      <c r="N110" s="59">
        <f>(L110-M110)*0.7</f>
        <v>44.099999999999994</v>
      </c>
    </row>
    <row r="111" spans="1:14">
      <c r="A111" s="44" t="s">
        <v>293</v>
      </c>
      <c r="B111" s="44"/>
      <c r="C111" s="35">
        <v>45086</v>
      </c>
      <c r="D111" s="35">
        <v>45089</v>
      </c>
      <c r="E111" s="4">
        <v>45103</v>
      </c>
      <c r="F111" s="40"/>
      <c r="G111" s="40"/>
      <c r="H111" s="5">
        <v>11.03</v>
      </c>
      <c r="I111" s="102">
        <f>21/30*14</f>
        <v>9.7999999999999989</v>
      </c>
      <c r="J111" s="40"/>
      <c r="K111" s="40"/>
      <c r="L111" s="6">
        <v>50</v>
      </c>
      <c r="M111" s="6">
        <v>21</v>
      </c>
      <c r="N111" s="59">
        <f>(L111-M111)*0.7</f>
        <v>20.299999999999997</v>
      </c>
    </row>
    <row r="112" spans="1:14">
      <c r="A112" s="44" t="s">
        <v>295</v>
      </c>
      <c r="B112" s="44"/>
      <c r="C112" s="35">
        <v>45228</v>
      </c>
      <c r="D112" s="35">
        <v>45203</v>
      </c>
      <c r="E112" s="4"/>
      <c r="F112" s="40"/>
      <c r="G112" s="40"/>
      <c r="H112" s="5">
        <v>13.31</v>
      </c>
      <c r="I112" s="102">
        <f>27/30*5</f>
        <v>4.5</v>
      </c>
      <c r="J112" s="40">
        <v>45</v>
      </c>
      <c r="K112" s="40"/>
      <c r="L112" s="6">
        <v>80</v>
      </c>
      <c r="M112" s="6">
        <v>27</v>
      </c>
      <c r="N112" s="59">
        <f>(L112-M112)*0.7</f>
        <v>37.099999999999994</v>
      </c>
    </row>
    <row r="113" spans="1:16">
      <c r="A113" s="44" t="s">
        <v>320</v>
      </c>
      <c r="B113" s="44"/>
      <c r="C113" s="35">
        <v>45177</v>
      </c>
      <c r="D113" s="35">
        <v>45196</v>
      </c>
      <c r="E113" s="4"/>
      <c r="F113" s="40"/>
      <c r="G113" s="40"/>
      <c r="H113" s="5">
        <v>10.44</v>
      </c>
      <c r="I113" s="102">
        <f>38/30*21</f>
        <v>26.599999999999998</v>
      </c>
      <c r="J113" s="40"/>
      <c r="K113" s="40"/>
      <c r="L113" s="6">
        <v>69</v>
      </c>
      <c r="M113" s="6">
        <v>38</v>
      </c>
      <c r="N113" s="59">
        <f>(69-38)*0.7</f>
        <v>21.7</v>
      </c>
    </row>
    <row r="114" spans="1:16">
      <c r="A114" s="44" t="s">
        <v>325</v>
      </c>
      <c r="B114" s="44"/>
      <c r="C114" s="35"/>
      <c r="D114" s="35">
        <v>45223</v>
      </c>
      <c r="E114" s="4">
        <v>45239</v>
      </c>
      <c r="F114" s="40"/>
      <c r="G114" s="40"/>
      <c r="H114" s="5">
        <v>40</v>
      </c>
      <c r="I114" s="102">
        <f>43/30*15</f>
        <v>21.5</v>
      </c>
      <c r="J114" s="40"/>
      <c r="K114" s="40"/>
      <c r="L114" s="6">
        <v>69</v>
      </c>
      <c r="M114" s="6">
        <v>43</v>
      </c>
      <c r="N114" s="94">
        <f>(69-43)*0.7</f>
        <v>18.2</v>
      </c>
      <c r="O114" s="72" t="s">
        <v>329</v>
      </c>
      <c r="P114" s="72">
        <v>12.74</v>
      </c>
    </row>
    <row r="115" spans="1:16">
      <c r="A115" s="44" t="s">
        <v>326</v>
      </c>
      <c r="B115" s="44"/>
      <c r="C115" s="35"/>
      <c r="D115" s="35">
        <v>45188</v>
      </c>
      <c r="E115" s="4">
        <v>45209</v>
      </c>
      <c r="F115" s="40"/>
      <c r="G115" s="40"/>
      <c r="H115" s="5">
        <v>11.48</v>
      </c>
      <c r="I115" s="102"/>
      <c r="J115" s="40"/>
      <c r="K115" s="40"/>
      <c r="L115" s="6">
        <v>59</v>
      </c>
      <c r="M115" s="6">
        <v>38</v>
      </c>
      <c r="N115" s="59">
        <f>(L115-M115)*0.7</f>
        <v>14.7</v>
      </c>
    </row>
    <row r="116" spans="1:16">
      <c r="A116" s="44" t="s">
        <v>108</v>
      </c>
      <c r="B116" s="44"/>
      <c r="C116" s="35"/>
      <c r="D116" s="35">
        <v>45231</v>
      </c>
      <c r="E116" s="4">
        <v>45231</v>
      </c>
      <c r="F116" s="40"/>
      <c r="G116" s="40"/>
      <c r="H116" s="5"/>
      <c r="I116" s="102"/>
      <c r="J116" s="40"/>
      <c r="K116" s="40"/>
      <c r="L116" s="6">
        <v>69</v>
      </c>
      <c r="M116" s="6">
        <v>43</v>
      </c>
      <c r="N116" s="59">
        <f>(L116-M116)*0.7</f>
        <v>18.2</v>
      </c>
    </row>
    <row r="117" spans="1:16">
      <c r="A117" s="44" t="s">
        <v>327</v>
      </c>
      <c r="B117" s="44"/>
      <c r="C117" s="35"/>
      <c r="D117" s="35"/>
      <c r="E117" s="4">
        <v>45127</v>
      </c>
      <c r="F117" s="40"/>
      <c r="G117" s="40"/>
      <c r="H117" s="5">
        <v>11.48</v>
      </c>
      <c r="I117" s="102"/>
      <c r="J117" s="40"/>
      <c r="K117" s="40"/>
      <c r="L117" s="6">
        <v>25</v>
      </c>
      <c r="M117" s="6">
        <v>9</v>
      </c>
      <c r="N117" s="59">
        <f>(L117-M117)*0.7</f>
        <v>11.2</v>
      </c>
    </row>
    <row r="118" spans="1:16">
      <c r="A118" s="44" t="s">
        <v>336</v>
      </c>
      <c r="B118" s="44"/>
      <c r="C118" s="35"/>
      <c r="D118" s="35">
        <v>45278</v>
      </c>
      <c r="E118" s="4">
        <v>45278</v>
      </c>
      <c r="F118" s="40"/>
      <c r="G118" s="40"/>
      <c r="H118" s="5"/>
      <c r="I118" s="102"/>
      <c r="J118" s="40"/>
      <c r="K118" s="40"/>
      <c r="L118" s="6">
        <v>69</v>
      </c>
      <c r="M118" s="6">
        <v>43</v>
      </c>
      <c r="N118" s="59">
        <f>(69-43)*0.7/30*42</f>
        <v>25.48</v>
      </c>
    </row>
    <row r="119" spans="1:16">
      <c r="A119" s="10" t="s">
        <v>337</v>
      </c>
      <c r="B119" s="44"/>
      <c r="C119" s="35">
        <v>45342</v>
      </c>
      <c r="D119" s="35">
        <v>44977</v>
      </c>
      <c r="E119" s="4">
        <v>45342</v>
      </c>
      <c r="F119" s="40"/>
      <c r="G119" s="40"/>
      <c r="H119" s="5">
        <v>13.78</v>
      </c>
      <c r="I119" s="102"/>
      <c r="J119" s="40">
        <f>45+50</f>
        <v>95</v>
      </c>
      <c r="K119" s="40"/>
      <c r="L119" s="6">
        <v>100</v>
      </c>
      <c r="M119" s="6">
        <v>38.5</v>
      </c>
      <c r="N119" s="59">
        <f>(L119-M119)*0.7/30*20</f>
        <v>28.699999999999996</v>
      </c>
    </row>
    <row r="120" spans="1:16">
      <c r="A120" s="44" t="s">
        <v>338</v>
      </c>
      <c r="B120" s="44"/>
      <c r="C120" s="35">
        <v>45271</v>
      </c>
      <c r="D120" s="35"/>
      <c r="E120" s="4">
        <v>45301</v>
      </c>
      <c r="F120" s="40"/>
      <c r="G120" s="40"/>
      <c r="H120" s="5">
        <v>14.26</v>
      </c>
      <c r="I120" s="102">
        <f>25/30*29</f>
        <v>24.166666666666668</v>
      </c>
      <c r="J120" s="40">
        <f>30+50</f>
        <v>80</v>
      </c>
      <c r="K120" s="40"/>
      <c r="L120" s="6">
        <v>80</v>
      </c>
      <c r="M120" s="6">
        <v>29</v>
      </c>
      <c r="N120" s="59">
        <f>(L120-M120)*0.7</f>
        <v>35.699999999999996</v>
      </c>
      <c r="O120" t="s">
        <v>339</v>
      </c>
    </row>
    <row r="121" spans="1:16">
      <c r="A121" s="10" t="s">
        <v>333</v>
      </c>
      <c r="B121" s="44"/>
      <c r="C121" s="35"/>
      <c r="D121" s="35"/>
      <c r="E121" s="4">
        <v>45336</v>
      </c>
      <c r="F121" s="40"/>
      <c r="G121" s="40"/>
      <c r="H121" s="5">
        <v>10</v>
      </c>
      <c r="I121" s="102">
        <v>0</v>
      </c>
      <c r="J121" s="40">
        <v>120</v>
      </c>
      <c r="K121" s="40"/>
      <c r="L121" s="6">
        <v>160</v>
      </c>
      <c r="M121" s="6">
        <v>72</v>
      </c>
      <c r="N121" s="59">
        <f>(L121-M121)*0.7/30*15</f>
        <v>30.799999999999997</v>
      </c>
    </row>
    <row r="122" spans="1:16">
      <c r="A122" s="10" t="s">
        <v>343</v>
      </c>
      <c r="B122" s="44"/>
      <c r="C122" s="35"/>
      <c r="D122" s="35"/>
      <c r="E122" s="4">
        <v>45336</v>
      </c>
      <c r="F122" s="40"/>
      <c r="G122" s="40"/>
      <c r="H122" s="5">
        <v>10.92</v>
      </c>
      <c r="I122" s="102"/>
      <c r="J122" s="40"/>
      <c r="K122" s="40"/>
      <c r="L122" s="6">
        <v>59</v>
      </c>
      <c r="M122" s="6">
        <v>38</v>
      </c>
      <c r="N122" s="59">
        <f>(L122-M122)*0.7/30*15</f>
        <v>7.35</v>
      </c>
    </row>
    <row r="123" spans="1:16">
      <c r="A123" s="10" t="s">
        <v>344</v>
      </c>
      <c r="B123" s="44"/>
      <c r="C123" s="35"/>
      <c r="D123" s="35">
        <v>45323</v>
      </c>
      <c r="E123" s="4">
        <v>45323</v>
      </c>
      <c r="F123" s="40"/>
      <c r="G123" s="40"/>
      <c r="H123" s="5">
        <v>10.92</v>
      </c>
      <c r="I123" s="102"/>
      <c r="J123" s="40"/>
      <c r="K123" s="40"/>
      <c r="L123" s="6">
        <v>40</v>
      </c>
      <c r="M123" s="6">
        <v>32.5</v>
      </c>
      <c r="N123" s="59">
        <f>(L123-M123)*0.7</f>
        <v>5.25</v>
      </c>
    </row>
    <row r="124" spans="1:16">
      <c r="A124" s="10" t="s">
        <v>345</v>
      </c>
      <c r="B124" s="44"/>
      <c r="C124" s="35"/>
      <c r="D124" s="35"/>
      <c r="E124" s="4">
        <v>45345</v>
      </c>
      <c r="F124" s="40"/>
      <c r="G124" s="40"/>
      <c r="H124" s="5">
        <v>24.2</v>
      </c>
      <c r="I124" s="102"/>
      <c r="J124" s="40">
        <v>45</v>
      </c>
      <c r="K124" s="40"/>
      <c r="L124" s="6">
        <v>90</v>
      </c>
      <c r="M124" s="6">
        <f>7+9</f>
        <v>16</v>
      </c>
      <c r="N124" s="59">
        <f>(L124-M124)*0.7/30*7</f>
        <v>12.086666666666666</v>
      </c>
    </row>
    <row r="125" spans="1:16">
      <c r="A125" s="10" t="s">
        <v>346</v>
      </c>
      <c r="B125" s="44"/>
      <c r="C125" s="35"/>
      <c r="D125" s="35"/>
      <c r="E125" s="4">
        <v>45334</v>
      </c>
      <c r="F125" s="40"/>
      <c r="G125" s="40"/>
      <c r="H125" s="5">
        <v>12.01</v>
      </c>
      <c r="I125" s="102"/>
      <c r="J125" s="40">
        <v>15</v>
      </c>
      <c r="K125" s="40"/>
      <c r="L125" s="6">
        <v>20</v>
      </c>
      <c r="M125" s="6">
        <v>9</v>
      </c>
      <c r="N125" s="70">
        <f>(L125-M125)*0.7/30*18</f>
        <v>4.62</v>
      </c>
    </row>
    <row r="126" spans="1:16">
      <c r="C126" s="36"/>
      <c r="D126" s="36"/>
      <c r="F126" s="28"/>
      <c r="G126" s="28"/>
      <c r="H126" s="30"/>
      <c r="I126" s="104"/>
      <c r="M126" s="62" t="s">
        <v>4</v>
      </c>
      <c r="N126" s="18">
        <f>SUM(N2:N125)</f>
        <v>4476.6866666666674</v>
      </c>
    </row>
    <row r="127" spans="1:16">
      <c r="C127" s="36"/>
      <c r="D127" s="36"/>
      <c r="F127" s="28"/>
      <c r="G127" s="28"/>
      <c r="H127" s="30"/>
      <c r="I127" s="104"/>
      <c r="M127" s="61" t="s">
        <v>251</v>
      </c>
      <c r="N127" s="6">
        <v>4178.3500000000004</v>
      </c>
    </row>
    <row r="128" spans="1:16">
      <c r="C128" s="36"/>
      <c r="D128" s="36"/>
      <c r="F128" s="28"/>
      <c r="G128" s="28"/>
      <c r="H128" s="30"/>
      <c r="I128" s="104"/>
    </row>
    <row r="130" spans="1:14">
      <c r="A130" s="28"/>
      <c r="B130" s="28"/>
      <c r="E130" s="15"/>
      <c r="F130" s="1"/>
      <c r="G130" s="1"/>
      <c r="H130" s="1"/>
      <c r="J130" s="1"/>
      <c r="K130" s="1"/>
      <c r="L130" s="1"/>
      <c r="M130" s="1" t="s">
        <v>347</v>
      </c>
      <c r="N130" s="29"/>
    </row>
    <row r="131" spans="1:14">
      <c r="L131" s="1"/>
      <c r="M131" s="1" t="s">
        <v>351</v>
      </c>
    </row>
    <row r="132" spans="1:14">
      <c r="H132" s="30"/>
      <c r="L132" s="1"/>
      <c r="M132" t="s">
        <v>349</v>
      </c>
      <c r="N132">
        <v>13.31</v>
      </c>
    </row>
    <row r="133" spans="1:14">
      <c r="M133" t="s">
        <v>348</v>
      </c>
      <c r="N133" t="s">
        <v>323</v>
      </c>
    </row>
    <row r="134" spans="1:14">
      <c r="M134" t="s">
        <v>350</v>
      </c>
    </row>
    <row r="135" spans="1:14">
      <c r="M135"/>
    </row>
  </sheetData>
  <autoFilter ref="A1:P127">
    <sortState ref="A2:P103">
      <sortCondition ref="B1:B103"/>
    </sortState>
  </autoFilter>
  <pageMargins left="0.7" right="0.7" top="0.75" bottom="0.75" header="0.3" footer="0.3"/>
  <pageSetup paperSize="9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>
  <dimension ref="A1:P135"/>
  <sheetViews>
    <sheetView topLeftCell="C123" workbookViewId="0">
      <selection activeCell="M135" sqref="M135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3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50</v>
      </c>
      <c r="M5" s="61">
        <v>22</v>
      </c>
      <c r="N5" s="6">
        <f t="shared" si="0"/>
        <v>19.599999999999998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40</v>
      </c>
      <c r="B19" s="2"/>
      <c r="C19" s="4">
        <v>43106</v>
      </c>
      <c r="D19" s="4"/>
      <c r="E19" s="4">
        <v>43146</v>
      </c>
      <c r="F19" s="5"/>
      <c r="G19" s="49"/>
      <c r="H19" s="5">
        <v>8.2899999999999991</v>
      </c>
      <c r="I19" s="102">
        <f>25/30*39</f>
        <v>32.5</v>
      </c>
      <c r="J19" s="5"/>
      <c r="K19" s="5"/>
      <c r="L19" s="6">
        <v>70</v>
      </c>
      <c r="M19" s="61">
        <v>26</v>
      </c>
      <c r="N19" s="6">
        <f t="shared" si="0"/>
        <v>30.799999999999997</v>
      </c>
    </row>
    <row r="20" spans="1:15">
      <c r="A20" s="2" t="s">
        <v>44</v>
      </c>
      <c r="B20" s="2"/>
      <c r="C20" s="4">
        <v>43196</v>
      </c>
      <c r="D20" s="4"/>
      <c r="E20" s="4">
        <v>43250</v>
      </c>
      <c r="F20" s="5"/>
      <c r="G20" s="49"/>
      <c r="H20" s="5">
        <v>13.78</v>
      </c>
      <c r="I20" s="102">
        <f>25*24/30+25</f>
        <v>45</v>
      </c>
      <c r="J20" s="5"/>
      <c r="K20" s="5"/>
      <c r="L20" s="6">
        <v>11</v>
      </c>
      <c r="M20" s="61">
        <v>25</v>
      </c>
      <c r="N20" s="6">
        <v>9.7999999999999989</v>
      </c>
    </row>
    <row r="21" spans="1:15">
      <c r="A21" s="22" t="s">
        <v>47</v>
      </c>
      <c r="B21" s="22"/>
      <c r="C21" s="4">
        <v>43355</v>
      </c>
      <c r="D21" s="4"/>
      <c r="E21" s="4">
        <v>43277</v>
      </c>
      <c r="F21" s="5"/>
      <c r="G21" s="49"/>
      <c r="H21" s="5">
        <v>19.98</v>
      </c>
      <c r="I21" s="102">
        <f>36*2+36/30*16</f>
        <v>91.2</v>
      </c>
      <c r="J21" s="5"/>
      <c r="K21" s="5"/>
      <c r="L21" s="6">
        <v>105</v>
      </c>
      <c r="M21" s="61">
        <v>36</v>
      </c>
      <c r="N21" s="6">
        <f t="shared" si="0"/>
        <v>48.3</v>
      </c>
    </row>
    <row r="22" spans="1:15">
      <c r="A22" s="22" t="s">
        <v>48</v>
      </c>
      <c r="B22" s="22"/>
      <c r="C22" s="4">
        <v>43367</v>
      </c>
      <c r="D22" s="4"/>
      <c r="E22" s="4">
        <v>43284</v>
      </c>
      <c r="F22" s="5"/>
      <c r="G22" s="49"/>
      <c r="H22" s="5">
        <v>9.1</v>
      </c>
      <c r="I22" s="102">
        <f>25+25/30*27</f>
        <v>47.5</v>
      </c>
      <c r="J22" s="5"/>
      <c r="K22" s="5"/>
      <c r="L22" s="6">
        <v>75</v>
      </c>
      <c r="M22" s="61">
        <v>25</v>
      </c>
      <c r="N22" s="6">
        <f t="shared" si="0"/>
        <v>35</v>
      </c>
    </row>
    <row r="23" spans="1:15">
      <c r="A23" s="2" t="s">
        <v>45</v>
      </c>
      <c r="B23" s="2"/>
      <c r="C23" s="4"/>
      <c r="D23" s="4"/>
      <c r="E23" s="4">
        <v>43286</v>
      </c>
      <c r="F23" s="5"/>
      <c r="G23" s="49"/>
      <c r="H23" s="5">
        <v>11.56</v>
      </c>
      <c r="I23" s="102"/>
      <c r="J23" s="5"/>
      <c r="K23" s="5"/>
      <c r="L23" s="6">
        <v>150</v>
      </c>
      <c r="M23" s="61">
        <v>76</v>
      </c>
      <c r="N23" s="6">
        <f t="shared" si="0"/>
        <v>51.8</v>
      </c>
      <c r="O23" s="20"/>
    </row>
    <row r="24" spans="1:15">
      <c r="A24" s="22" t="s">
        <v>49</v>
      </c>
      <c r="B24" s="22"/>
      <c r="C24" s="4">
        <v>43367</v>
      </c>
      <c r="D24" s="4"/>
      <c r="E24" s="4">
        <v>43291</v>
      </c>
      <c r="F24" s="5"/>
      <c r="G24" s="49"/>
      <c r="H24" s="5">
        <v>10.039999999999999</v>
      </c>
      <c r="I24" s="102">
        <f>50+25/30*14</f>
        <v>61.666666666666671</v>
      </c>
      <c r="J24" s="5"/>
      <c r="K24" s="5"/>
      <c r="L24" s="6">
        <v>50</v>
      </c>
      <c r="M24" s="61">
        <v>22</v>
      </c>
      <c r="N24" s="18">
        <f t="shared" si="0"/>
        <v>19.599999999999998</v>
      </c>
    </row>
    <row r="25" spans="1:15">
      <c r="A25" s="22" t="s">
        <v>51</v>
      </c>
      <c r="B25" s="22"/>
      <c r="C25" s="4">
        <v>43358</v>
      </c>
      <c r="D25" s="4"/>
      <c r="E25" s="4">
        <v>43291</v>
      </c>
      <c r="F25" s="5"/>
      <c r="G25" s="49"/>
      <c r="H25" s="5">
        <v>10.039999999999999</v>
      </c>
      <c r="I25" s="102">
        <f>50+25/30*5</f>
        <v>54.166666666666664</v>
      </c>
      <c r="J25" s="5"/>
      <c r="K25" s="5"/>
      <c r="L25" s="6">
        <v>75</v>
      </c>
      <c r="M25" s="61">
        <v>25</v>
      </c>
      <c r="N25" s="6">
        <f t="shared" si="0"/>
        <v>35</v>
      </c>
    </row>
    <row r="26" spans="1:15">
      <c r="A26" s="22" t="s">
        <v>52</v>
      </c>
      <c r="B26" s="22"/>
      <c r="C26" s="4">
        <v>43367</v>
      </c>
      <c r="D26" s="4"/>
      <c r="E26" s="4">
        <v>43308</v>
      </c>
      <c r="F26" s="5"/>
      <c r="G26" s="49"/>
      <c r="H26" s="5">
        <v>10.86</v>
      </c>
      <c r="I26" s="102">
        <f>25+25/30*27</f>
        <v>47.5</v>
      </c>
      <c r="J26" s="5"/>
      <c r="K26" s="5"/>
      <c r="L26" s="6">
        <v>75</v>
      </c>
      <c r="M26" s="61">
        <v>25</v>
      </c>
      <c r="N26" s="27">
        <f t="shared" si="0"/>
        <v>35</v>
      </c>
    </row>
    <row r="27" spans="1:15">
      <c r="A27" s="22" t="s">
        <v>50</v>
      </c>
      <c r="B27" s="22"/>
      <c r="C27" s="4">
        <v>43367</v>
      </c>
      <c r="D27" s="4"/>
      <c r="E27" s="4">
        <v>43312</v>
      </c>
      <c r="F27" s="5"/>
      <c r="G27" s="49"/>
      <c r="H27" s="5">
        <v>10.86</v>
      </c>
      <c r="I27" s="102">
        <f>25+25/30*24</f>
        <v>45</v>
      </c>
      <c r="J27" s="5"/>
      <c r="K27" s="5"/>
      <c r="L27" s="6">
        <v>70</v>
      </c>
      <c r="M27" s="61">
        <v>25</v>
      </c>
      <c r="N27" s="6">
        <f t="shared" si="0"/>
        <v>31.499999999999996</v>
      </c>
    </row>
    <row r="28" spans="1:15">
      <c r="A28" s="22" t="s">
        <v>55</v>
      </c>
      <c r="B28" s="22"/>
      <c r="C28" s="4">
        <v>43363</v>
      </c>
      <c r="D28" s="4"/>
      <c r="E28" s="4">
        <v>43440</v>
      </c>
      <c r="F28" s="5"/>
      <c r="G28" s="49"/>
      <c r="H28" s="5">
        <v>14.11</v>
      </c>
      <c r="I28" s="102">
        <f>25*2+25*16/30</f>
        <v>63.333333333333336</v>
      </c>
      <c r="J28" s="5"/>
      <c r="K28" s="5"/>
      <c r="L28" s="6">
        <v>75</v>
      </c>
      <c r="M28" s="61">
        <v>25</v>
      </c>
      <c r="N28" s="6">
        <f t="shared" si="0"/>
        <v>35</v>
      </c>
    </row>
    <row r="29" spans="1:15">
      <c r="A29" s="22" t="s">
        <v>54</v>
      </c>
      <c r="B29" s="22"/>
      <c r="C29" s="4">
        <v>43167</v>
      </c>
      <c r="D29" s="4"/>
      <c r="E29" s="4">
        <v>43455</v>
      </c>
      <c r="F29" s="5"/>
      <c r="G29" s="49"/>
      <c r="H29" s="5">
        <v>10.86</v>
      </c>
      <c r="I29" s="102">
        <f>9*25+25*13/30</f>
        <v>235.83333333333334</v>
      </c>
      <c r="J29" s="5"/>
      <c r="K29" s="5"/>
      <c r="L29" s="6">
        <v>90</v>
      </c>
      <c r="M29" s="61">
        <v>36</v>
      </c>
      <c r="N29" s="6">
        <f t="shared" si="0"/>
        <v>37.799999999999997</v>
      </c>
    </row>
    <row r="30" spans="1:15">
      <c r="A30" s="22" t="s">
        <v>57</v>
      </c>
      <c r="B30" s="55"/>
      <c r="C30" s="31">
        <v>43478</v>
      </c>
      <c r="D30" s="31"/>
      <c r="E30" s="4">
        <v>43536</v>
      </c>
      <c r="F30" s="5"/>
      <c r="G30" s="49"/>
      <c r="H30" s="5">
        <v>10.86</v>
      </c>
      <c r="I30" s="102">
        <v>25</v>
      </c>
      <c r="J30" s="5"/>
      <c r="K30" s="5"/>
      <c r="L30" s="6">
        <v>70</v>
      </c>
      <c r="M30" s="61">
        <v>25</v>
      </c>
      <c r="N30" s="6">
        <f t="shared" si="0"/>
        <v>31.499999999999996</v>
      </c>
    </row>
    <row r="31" spans="1:15">
      <c r="A31" s="22" t="s">
        <v>59</v>
      </c>
      <c r="B31" s="22"/>
      <c r="C31" s="4">
        <v>43528</v>
      </c>
      <c r="D31" s="4"/>
      <c r="E31" s="4">
        <v>43538</v>
      </c>
      <c r="F31" s="5"/>
      <c r="G31" s="49"/>
      <c r="H31" s="5">
        <v>14.92</v>
      </c>
      <c r="I31" s="102">
        <f>77/30*10</f>
        <v>25.666666666666668</v>
      </c>
      <c r="J31" s="5"/>
      <c r="K31" s="5"/>
      <c r="L31" s="6">
        <v>169</v>
      </c>
      <c r="M31" s="61">
        <f>64+11+2</f>
        <v>77</v>
      </c>
      <c r="N31" s="6">
        <f t="shared" si="0"/>
        <v>64.399999999999991</v>
      </c>
    </row>
    <row r="32" spans="1:15">
      <c r="A32" s="22" t="s">
        <v>58</v>
      </c>
      <c r="B32" s="22"/>
      <c r="C32" s="4">
        <v>43534</v>
      </c>
      <c r="D32" s="4"/>
      <c r="E32" s="4">
        <v>43542</v>
      </c>
      <c r="F32" s="5"/>
      <c r="G32" s="49"/>
      <c r="H32" s="5">
        <f>10.86*2</f>
        <v>21.72</v>
      </c>
      <c r="I32" s="102">
        <v>0</v>
      </c>
      <c r="J32" s="5"/>
      <c r="K32" s="5"/>
      <c r="L32" s="6">
        <v>60</v>
      </c>
      <c r="M32" s="61">
        <v>33</v>
      </c>
      <c r="N32" s="6">
        <v>18.899999999999999</v>
      </c>
    </row>
    <row r="33" spans="1:15">
      <c r="A33" s="22" t="s">
        <v>61</v>
      </c>
      <c r="B33" s="22"/>
      <c r="C33" s="4">
        <v>43482</v>
      </c>
      <c r="D33" s="4"/>
      <c r="E33" s="4">
        <v>43542</v>
      </c>
      <c r="F33" s="5"/>
      <c r="G33" s="49"/>
      <c r="H33" s="5">
        <v>11.1</v>
      </c>
      <c r="I33" s="102">
        <f>25*2</f>
        <v>50</v>
      </c>
      <c r="J33" s="5"/>
      <c r="K33" s="5"/>
      <c r="L33" s="6">
        <v>70</v>
      </c>
      <c r="M33" s="61">
        <v>26</v>
      </c>
      <c r="N33" s="6">
        <f t="shared" si="0"/>
        <v>30.799999999999997</v>
      </c>
    </row>
    <row r="34" spans="1:15">
      <c r="A34" s="22" t="s">
        <v>67</v>
      </c>
      <c r="B34" s="22"/>
      <c r="C34" s="4">
        <v>43600</v>
      </c>
      <c r="D34" s="4"/>
      <c r="E34" s="4">
        <v>43629</v>
      </c>
      <c r="F34" s="5"/>
      <c r="G34" s="49"/>
      <c r="H34" s="5">
        <f>10.86*2</f>
        <v>21.72</v>
      </c>
      <c r="I34" s="102">
        <f>22/30*58</f>
        <v>42.533333333333331</v>
      </c>
      <c r="J34" s="5">
        <v>50</v>
      </c>
      <c r="K34" s="5">
        <f>H34+I34+J34</f>
        <v>114.25333333333333</v>
      </c>
      <c r="L34" s="6">
        <v>60</v>
      </c>
      <c r="M34" s="61">
        <v>25</v>
      </c>
      <c r="N34" s="6">
        <v>0</v>
      </c>
    </row>
    <row r="35" spans="1:15">
      <c r="A35" s="22" t="s">
        <v>66</v>
      </c>
      <c r="B35" s="22"/>
      <c r="C35" s="4">
        <v>43600</v>
      </c>
      <c r="D35" s="4"/>
      <c r="E35" s="4">
        <v>43629</v>
      </c>
      <c r="F35" s="5"/>
      <c r="G35" s="49"/>
      <c r="H35" s="5">
        <f>10.86</f>
        <v>10.86</v>
      </c>
      <c r="I35" s="102">
        <f>39/30*58</f>
        <v>75.400000000000006</v>
      </c>
      <c r="J35" s="5"/>
      <c r="K35" s="5">
        <f>H35+I35</f>
        <v>86.26</v>
      </c>
      <c r="L35" s="6">
        <v>110</v>
      </c>
      <c r="M35" s="61">
        <f>25+11+3</f>
        <v>39</v>
      </c>
      <c r="N35" s="6">
        <v>0</v>
      </c>
      <c r="O35" t="s">
        <v>73</v>
      </c>
    </row>
    <row r="36" spans="1:15">
      <c r="A36" s="22" t="s">
        <v>64</v>
      </c>
      <c r="B36" s="22"/>
      <c r="C36" s="4">
        <v>43627</v>
      </c>
      <c r="D36" s="4"/>
      <c r="E36" s="4">
        <v>43629</v>
      </c>
      <c r="F36" s="5"/>
      <c r="G36" s="49"/>
      <c r="H36" s="5">
        <v>10.86</v>
      </c>
      <c r="I36" s="102">
        <f>25/30*2</f>
        <v>1.6666666666666667</v>
      </c>
      <c r="J36" s="5"/>
      <c r="K36" s="5">
        <f>H36+I36</f>
        <v>12.526666666666666</v>
      </c>
      <c r="L36" s="6">
        <v>200</v>
      </c>
      <c r="M36" s="61">
        <v>11</v>
      </c>
      <c r="N36" s="5">
        <f t="shared" ref="N36:N48" si="1">(L36-M36)*0.7</f>
        <v>132.29999999999998</v>
      </c>
    </row>
    <row r="37" spans="1:15">
      <c r="A37" s="22" t="s">
        <v>65</v>
      </c>
      <c r="B37" s="22"/>
      <c r="C37" s="4">
        <v>43622</v>
      </c>
      <c r="D37" s="4"/>
      <c r="E37" s="4">
        <v>43650</v>
      </c>
      <c r="F37" s="5"/>
      <c r="G37" s="49"/>
      <c r="H37" s="5">
        <v>10.86</v>
      </c>
      <c r="I37" s="102"/>
      <c r="J37" s="5"/>
      <c r="K37" s="5"/>
      <c r="L37" s="6">
        <v>120</v>
      </c>
      <c r="M37" s="61">
        <v>60</v>
      </c>
      <c r="N37" s="6">
        <f t="shared" si="1"/>
        <v>42</v>
      </c>
    </row>
    <row r="38" spans="1:15">
      <c r="A38" s="22" t="s">
        <v>71</v>
      </c>
      <c r="B38" s="22"/>
      <c r="C38" s="4">
        <v>43635</v>
      </c>
      <c r="D38" s="4"/>
      <c r="E38" s="4">
        <v>43662</v>
      </c>
      <c r="F38" s="5"/>
      <c r="G38" s="49"/>
      <c r="H38" s="5">
        <f>10.86*2</f>
        <v>21.72</v>
      </c>
      <c r="I38" s="102"/>
      <c r="J38" s="5"/>
      <c r="K38" s="5"/>
      <c r="L38" s="6">
        <v>70</v>
      </c>
      <c r="M38" s="61">
        <v>26</v>
      </c>
      <c r="N38" s="6">
        <f t="shared" si="1"/>
        <v>30.799999999999997</v>
      </c>
      <c r="O38" t="s">
        <v>72</v>
      </c>
    </row>
    <row r="39" spans="1:15">
      <c r="A39" s="2" t="s">
        <v>75</v>
      </c>
      <c r="B39" s="2"/>
      <c r="C39" s="4">
        <v>43656</v>
      </c>
      <c r="D39" s="4"/>
      <c r="E39" s="4">
        <v>43711</v>
      </c>
      <c r="F39" s="5"/>
      <c r="G39" s="49"/>
      <c r="H39" s="5">
        <v>10.86</v>
      </c>
      <c r="I39" s="102">
        <f>36/30*48</f>
        <v>57.599999999999994</v>
      </c>
      <c r="J39" s="5"/>
      <c r="K39" s="5"/>
      <c r="L39" s="6">
        <v>105</v>
      </c>
      <c r="M39" s="61">
        <v>36</v>
      </c>
      <c r="N39" s="6">
        <f t="shared" si="1"/>
        <v>48.3</v>
      </c>
    </row>
    <row r="40" spans="1:15">
      <c r="A40" s="2" t="s">
        <v>76</v>
      </c>
      <c r="B40" s="2"/>
      <c r="C40" s="4">
        <v>43677</v>
      </c>
      <c r="D40" s="4"/>
      <c r="E40" s="4">
        <v>43713</v>
      </c>
      <c r="F40" s="5"/>
      <c r="G40" s="49"/>
      <c r="H40" s="5">
        <v>24.06</v>
      </c>
      <c r="I40" s="102">
        <f>80/30*35</f>
        <v>93.333333333333329</v>
      </c>
      <c r="J40" s="5">
        <v>40</v>
      </c>
      <c r="K40" s="5"/>
      <c r="L40" s="6">
        <v>149</v>
      </c>
      <c r="M40" s="61">
        <v>80</v>
      </c>
      <c r="N40" s="6">
        <f t="shared" si="1"/>
        <v>48.3</v>
      </c>
      <c r="O40" t="s">
        <v>79</v>
      </c>
    </row>
    <row r="41" spans="1:15">
      <c r="A41" s="2" t="s">
        <v>81</v>
      </c>
      <c r="B41" s="2"/>
      <c r="C41" s="4">
        <v>43788</v>
      </c>
      <c r="D41" s="4"/>
      <c r="E41" s="4">
        <v>43865</v>
      </c>
      <c r="F41" s="5"/>
      <c r="G41" s="49"/>
      <c r="H41" s="5">
        <v>9.14</v>
      </c>
      <c r="I41" s="102">
        <f>25/30*45</f>
        <v>37.5</v>
      </c>
      <c r="J41" s="5"/>
      <c r="K41" s="5"/>
      <c r="L41" s="6">
        <v>90</v>
      </c>
      <c r="M41" s="61">
        <v>25</v>
      </c>
      <c r="N41" s="6">
        <f t="shared" si="1"/>
        <v>45.5</v>
      </c>
    </row>
    <row r="42" spans="1:15">
      <c r="A42" s="22" t="s">
        <v>87</v>
      </c>
      <c r="B42" s="22"/>
      <c r="C42" s="35">
        <v>43878</v>
      </c>
      <c r="D42" s="35"/>
      <c r="E42" s="35">
        <v>43892</v>
      </c>
      <c r="F42" s="5"/>
      <c r="G42" s="49"/>
      <c r="H42" s="5">
        <v>12.19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5">
      <c r="A43" s="22" t="s">
        <v>89</v>
      </c>
      <c r="B43" s="22"/>
      <c r="C43" s="35">
        <v>43908</v>
      </c>
      <c r="D43" s="35"/>
      <c r="E43" s="35">
        <v>43893</v>
      </c>
      <c r="F43" s="5"/>
      <c r="G43" s="49"/>
      <c r="H43" s="5">
        <v>9.6</v>
      </c>
      <c r="I43" s="102"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5">
      <c r="A44" s="22" t="s">
        <v>85</v>
      </c>
      <c r="B44" s="22"/>
      <c r="C44" s="35">
        <v>43881</v>
      </c>
      <c r="D44" s="35"/>
      <c r="E44" s="35">
        <v>43895</v>
      </c>
      <c r="F44" s="5"/>
      <c r="G44" s="49"/>
      <c r="H44" s="5">
        <v>9.14</v>
      </c>
      <c r="I44" s="102">
        <f>11/30*15</f>
        <v>5.5</v>
      </c>
      <c r="J44" s="5"/>
      <c r="K44" s="5"/>
      <c r="L44" s="6">
        <v>25</v>
      </c>
      <c r="M44" s="61">
        <v>11</v>
      </c>
      <c r="N44" s="6">
        <f t="shared" si="1"/>
        <v>9.7999999999999989</v>
      </c>
    </row>
    <row r="45" spans="1:15">
      <c r="A45" s="39" t="s">
        <v>82</v>
      </c>
      <c r="B45" s="28"/>
      <c r="C45" s="36">
        <v>40235</v>
      </c>
      <c r="D45" s="36"/>
      <c r="E45" s="36">
        <v>43901</v>
      </c>
      <c r="F45" s="5"/>
      <c r="G45" s="34"/>
      <c r="H45" s="37">
        <v>9.6</v>
      </c>
      <c r="I45" s="102">
        <f>11/2</f>
        <v>5.5</v>
      </c>
      <c r="J45" s="5"/>
      <c r="K45" s="5"/>
      <c r="L45" s="17">
        <v>25</v>
      </c>
      <c r="M45" s="63">
        <v>11</v>
      </c>
      <c r="N45" s="26">
        <f t="shared" si="1"/>
        <v>9.7999999999999989</v>
      </c>
    </row>
    <row r="46" spans="1:15">
      <c r="A46" s="22" t="s">
        <v>84</v>
      </c>
      <c r="B46" s="22"/>
      <c r="C46" s="35">
        <v>43889</v>
      </c>
      <c r="D46" s="35"/>
      <c r="E46" s="35">
        <v>43903</v>
      </c>
      <c r="F46" s="5"/>
      <c r="G46" s="49"/>
      <c r="H46" s="5">
        <v>9.14</v>
      </c>
      <c r="I46" s="102">
        <f>11/30*15</f>
        <v>5.5</v>
      </c>
      <c r="J46" s="5"/>
      <c r="K46" s="5"/>
      <c r="L46" s="6">
        <v>25</v>
      </c>
      <c r="M46" s="61">
        <v>11</v>
      </c>
      <c r="N46" s="6">
        <f t="shared" si="1"/>
        <v>9.7999999999999989</v>
      </c>
    </row>
    <row r="47" spans="1:15">
      <c r="A47" s="22" t="s">
        <v>80</v>
      </c>
      <c r="B47" s="22"/>
      <c r="C47" s="35">
        <v>43873</v>
      </c>
      <c r="D47" s="35"/>
      <c r="E47" s="35">
        <v>43910</v>
      </c>
      <c r="F47" s="5"/>
      <c r="G47" s="49"/>
      <c r="H47" s="5">
        <v>21.84</v>
      </c>
      <c r="I47" s="102">
        <f>56/30*38</f>
        <v>70.933333333333337</v>
      </c>
      <c r="J47" s="5"/>
      <c r="K47" s="5"/>
      <c r="L47" s="6">
        <v>120</v>
      </c>
      <c r="M47" s="61">
        <v>56</v>
      </c>
      <c r="N47" s="6">
        <f t="shared" si="1"/>
        <v>44.8</v>
      </c>
    </row>
    <row r="48" spans="1:15">
      <c r="A48" s="22" t="s">
        <v>88</v>
      </c>
      <c r="B48" s="22"/>
      <c r="C48" s="35">
        <v>43855</v>
      </c>
      <c r="D48" s="35"/>
      <c r="E48" s="35">
        <v>43941</v>
      </c>
      <c r="F48" s="5"/>
      <c r="G48" s="49"/>
      <c r="H48" s="5">
        <v>13.93</v>
      </c>
      <c r="I48" s="102">
        <f>56/30*85</f>
        <v>158.66666666666666</v>
      </c>
      <c r="J48" s="5"/>
      <c r="K48" s="5"/>
      <c r="L48" s="6">
        <v>110</v>
      </c>
      <c r="M48" s="61">
        <v>56</v>
      </c>
      <c r="N48" s="6">
        <f t="shared" si="1"/>
        <v>37.799999999999997</v>
      </c>
    </row>
    <row r="49" spans="1:16">
      <c r="A49" s="22" t="s">
        <v>90</v>
      </c>
      <c r="B49" s="22"/>
      <c r="C49" s="35" t="s">
        <v>96</v>
      </c>
      <c r="D49" s="35"/>
      <c r="E49" s="35">
        <v>44015</v>
      </c>
      <c r="F49" s="5" t="s">
        <v>160</v>
      </c>
      <c r="G49" s="49">
        <v>12.5</v>
      </c>
      <c r="H49" s="5">
        <v>11.29</v>
      </c>
      <c r="I49" s="102">
        <f>100</f>
        <v>100</v>
      </c>
      <c r="J49" s="5"/>
      <c r="K49" s="5"/>
      <c r="L49" s="6">
        <v>105</v>
      </c>
      <c r="M49" s="61">
        <f>25+11+22</f>
        <v>58</v>
      </c>
      <c r="N49" s="6">
        <f>12.5+(92.5-M49)*0.7</f>
        <v>36.65</v>
      </c>
      <c r="P49" s="41"/>
    </row>
    <row r="50" spans="1:16">
      <c r="A50" s="22" t="s">
        <v>97</v>
      </c>
      <c r="B50" s="22"/>
      <c r="C50" s="35">
        <v>43990</v>
      </c>
      <c r="D50" s="35"/>
      <c r="E50" s="35">
        <v>44036</v>
      </c>
      <c r="F50" s="5"/>
      <c r="G50" s="49"/>
      <c r="H50" s="5">
        <v>8.75</v>
      </c>
      <c r="I50" s="102">
        <f>56/30*46</f>
        <v>85.866666666666674</v>
      </c>
      <c r="J50" s="5"/>
      <c r="K50" s="5"/>
      <c r="L50" s="6">
        <v>110</v>
      </c>
      <c r="M50" s="61">
        <f>45+11</f>
        <v>56</v>
      </c>
      <c r="N50" s="6">
        <f>(L50-M50)*0.7</f>
        <v>37.799999999999997</v>
      </c>
    </row>
    <row r="51" spans="1:16">
      <c r="A51" s="22" t="s">
        <v>95</v>
      </c>
      <c r="B51" s="22"/>
      <c r="C51" s="35">
        <v>44028</v>
      </c>
      <c r="D51" s="35"/>
      <c r="E51" s="35">
        <v>44040</v>
      </c>
      <c r="F51" s="5"/>
      <c r="G51" s="49"/>
      <c r="H51" s="5">
        <v>8.75</v>
      </c>
      <c r="I51" s="102">
        <f>41/30*12</f>
        <v>16.399999999999999</v>
      </c>
      <c r="J51" s="5"/>
      <c r="K51" s="5"/>
      <c r="L51" s="6">
        <v>60</v>
      </c>
      <c r="M51" s="61">
        <v>41</v>
      </c>
      <c r="N51" s="6">
        <f>(L51-M51)*0.7</f>
        <v>13.299999999999999</v>
      </c>
    </row>
    <row r="52" spans="1:16">
      <c r="A52" s="22" t="s">
        <v>94</v>
      </c>
      <c r="B52" s="22"/>
      <c r="C52" s="35">
        <v>44011</v>
      </c>
      <c r="D52" s="35"/>
      <c r="E52" s="35">
        <v>44084</v>
      </c>
      <c r="F52" s="5"/>
      <c r="G52" s="49"/>
      <c r="H52" s="5">
        <v>11.29</v>
      </c>
      <c r="I52" s="102">
        <f>25/30*71</f>
        <v>59.166666666666671</v>
      </c>
      <c r="J52" s="5"/>
      <c r="K52" s="5"/>
      <c r="L52" s="6">
        <v>40</v>
      </c>
      <c r="M52" s="61">
        <v>25</v>
      </c>
      <c r="N52" s="6">
        <f>(L52-M52)*0.7</f>
        <v>10.5</v>
      </c>
    </row>
    <row r="53" spans="1:16">
      <c r="A53" s="2" t="s">
        <v>99</v>
      </c>
      <c r="B53" s="2"/>
      <c r="C53" s="35">
        <v>44084</v>
      </c>
      <c r="D53" s="35"/>
      <c r="E53" s="35">
        <v>44105</v>
      </c>
      <c r="F53" s="5" t="s">
        <v>160</v>
      </c>
      <c r="G53" s="49">
        <v>5</v>
      </c>
      <c r="H53" s="5">
        <v>12.24</v>
      </c>
      <c r="I53" s="102">
        <f>25/30*20</f>
        <v>16.666666666666668</v>
      </c>
      <c r="J53" s="5"/>
      <c r="K53" s="5"/>
      <c r="L53" s="43">
        <v>40</v>
      </c>
      <c r="M53" s="61">
        <v>22</v>
      </c>
      <c r="N53" s="6">
        <f>5+13*0.7</f>
        <v>14.1</v>
      </c>
      <c r="P53" s="41"/>
    </row>
    <row r="54" spans="1:16">
      <c r="A54" s="2" t="s">
        <v>102</v>
      </c>
      <c r="B54" s="2"/>
      <c r="C54" s="4" t="s">
        <v>103</v>
      </c>
      <c r="D54" s="4"/>
      <c r="E54" s="4">
        <v>44110</v>
      </c>
      <c r="F54" s="5" t="s">
        <v>160</v>
      </c>
      <c r="G54" s="49">
        <v>10</v>
      </c>
      <c r="H54" s="5">
        <v>36.65</v>
      </c>
      <c r="I54" s="102">
        <f>115/30*26</f>
        <v>99.666666666666671</v>
      </c>
      <c r="J54" s="5"/>
      <c r="K54" s="5"/>
      <c r="L54" s="6">
        <v>180</v>
      </c>
      <c r="M54" s="61">
        <v>115</v>
      </c>
      <c r="N54" s="6">
        <f>10+55*0.7</f>
        <v>48.5</v>
      </c>
      <c r="P54" s="41"/>
    </row>
    <row r="55" spans="1:16">
      <c r="A55" s="2" t="s">
        <v>94</v>
      </c>
      <c r="B55" s="2"/>
      <c r="C55" s="35">
        <v>44124</v>
      </c>
      <c r="D55" s="35"/>
      <c r="E55" s="35">
        <v>44124</v>
      </c>
      <c r="F55" s="5"/>
      <c r="G55" s="49"/>
      <c r="H55" s="5">
        <v>7.25</v>
      </c>
      <c r="I55" s="102">
        <v>0</v>
      </c>
      <c r="J55" s="5"/>
      <c r="K55" s="5"/>
      <c r="L55" s="6">
        <v>25</v>
      </c>
      <c r="M55" s="61">
        <v>11</v>
      </c>
      <c r="N55" s="6">
        <f>(L55-M55)*0.7</f>
        <v>9.7999999999999989</v>
      </c>
    </row>
    <row r="56" spans="1:16">
      <c r="A56" s="2" t="s">
        <v>100</v>
      </c>
      <c r="B56" s="2"/>
      <c r="C56" s="4">
        <v>44018</v>
      </c>
      <c r="D56" s="4"/>
      <c r="E56" s="4">
        <v>44124</v>
      </c>
      <c r="F56" s="40"/>
      <c r="G56" s="2"/>
      <c r="H56" s="5">
        <v>9.5</v>
      </c>
      <c r="I56" s="102">
        <f>25/30*104</f>
        <v>86.666666666666671</v>
      </c>
      <c r="J56" s="5"/>
      <c r="K56" s="5"/>
      <c r="L56" s="6">
        <v>70</v>
      </c>
      <c r="M56" s="61">
        <v>25</v>
      </c>
      <c r="N56" s="6">
        <f>(L56-M56)*0.7</f>
        <v>31.499999999999996</v>
      </c>
    </row>
    <row r="57" spans="1:16">
      <c r="A57" s="2" t="s">
        <v>101</v>
      </c>
      <c r="B57" s="2"/>
      <c r="C57" s="4">
        <v>44070</v>
      </c>
      <c r="D57" s="4"/>
      <c r="E57" s="4">
        <v>44131</v>
      </c>
      <c r="F57" s="40"/>
      <c r="G57" s="2"/>
      <c r="H57" s="5">
        <v>13.93</v>
      </c>
      <c r="I57" s="102">
        <f>71/30*60</f>
        <v>142</v>
      </c>
      <c r="J57" s="5"/>
      <c r="K57" s="5"/>
      <c r="L57" s="6">
        <v>120</v>
      </c>
      <c r="M57" s="61">
        <f>60+11</f>
        <v>71</v>
      </c>
      <c r="N57" s="6">
        <f>(L57-M57)*0.7</f>
        <v>34.299999999999997</v>
      </c>
    </row>
    <row r="58" spans="1:16">
      <c r="A58" s="22" t="s">
        <v>104</v>
      </c>
      <c r="B58" s="22"/>
      <c r="C58" s="4">
        <v>44159</v>
      </c>
      <c r="D58" s="4"/>
      <c r="E58" s="4">
        <v>44187</v>
      </c>
      <c r="F58" s="40"/>
      <c r="G58" s="2"/>
      <c r="H58" s="5">
        <v>13.93</v>
      </c>
      <c r="I58" s="102">
        <f>36/30*28</f>
        <v>33.6</v>
      </c>
      <c r="J58" s="5"/>
      <c r="K58" s="5"/>
      <c r="L58" s="6">
        <v>110</v>
      </c>
      <c r="M58" s="61">
        <f>25+11</f>
        <v>36</v>
      </c>
      <c r="N58" s="6">
        <f>(L58-M58)*0.7</f>
        <v>51.8</v>
      </c>
    </row>
    <row r="59" spans="1:16">
      <c r="A59" s="22" t="s">
        <v>120</v>
      </c>
      <c r="B59" s="22"/>
      <c r="C59" s="4">
        <v>44169</v>
      </c>
      <c r="D59" s="4"/>
      <c r="E59" s="4">
        <v>44208</v>
      </c>
      <c r="F59" s="5" t="s">
        <v>160</v>
      </c>
      <c r="G59" s="49">
        <v>10</v>
      </c>
      <c r="H59" s="5"/>
      <c r="I59" s="102">
        <f>41/30*38</f>
        <v>51.933333333333337</v>
      </c>
      <c r="J59" s="5"/>
      <c r="K59" s="5"/>
      <c r="L59" s="6">
        <v>70</v>
      </c>
      <c r="M59" s="61">
        <v>45</v>
      </c>
      <c r="N59" s="5">
        <f>10+(60-45)*0.7</f>
        <v>20.5</v>
      </c>
      <c r="O59" s="1" t="s">
        <v>145</v>
      </c>
    </row>
    <row r="60" spans="1:16">
      <c r="A60" s="22" t="s">
        <v>108</v>
      </c>
      <c r="B60" s="22"/>
      <c r="C60" s="4">
        <v>44185</v>
      </c>
      <c r="D60" s="4"/>
      <c r="E60" s="4">
        <v>44242</v>
      </c>
      <c r="F60" s="5" t="s">
        <v>160</v>
      </c>
      <c r="G60" s="49">
        <v>20</v>
      </c>
      <c r="H60" s="5">
        <v>26.48</v>
      </c>
      <c r="I60" s="102">
        <f>50/30*55</f>
        <v>91.666666666666671</v>
      </c>
      <c r="J60" s="5">
        <v>160</v>
      </c>
      <c r="K60" s="5"/>
      <c r="L60" s="6">
        <v>130</v>
      </c>
      <c r="M60" s="61">
        <v>34</v>
      </c>
      <c r="N60" s="5">
        <f>(20+(110-34)*0.7)</f>
        <v>73.199999999999989</v>
      </c>
      <c r="O60" s="1" t="s">
        <v>145</v>
      </c>
    </row>
    <row r="61" spans="1:16">
      <c r="A61" s="22" t="s">
        <v>109</v>
      </c>
      <c r="B61" s="22"/>
      <c r="C61" s="4">
        <v>44209</v>
      </c>
      <c r="D61" s="4"/>
      <c r="E61" s="4">
        <v>44250</v>
      </c>
      <c r="F61" s="5" t="s">
        <v>160</v>
      </c>
      <c r="G61" s="49">
        <v>22.5</v>
      </c>
      <c r="H61" s="5">
        <v>22.83</v>
      </c>
      <c r="I61" s="102">
        <f>100/30*40</f>
        <v>133.33333333333334</v>
      </c>
      <c r="J61" s="5">
        <v>125</v>
      </c>
      <c r="K61" s="5"/>
      <c r="L61" s="6">
        <v>210</v>
      </c>
      <c r="M61" s="61">
        <v>100</v>
      </c>
      <c r="N61" s="6">
        <f>(22.5+87.5*0.7)</f>
        <v>83.75</v>
      </c>
    </row>
    <row r="62" spans="1:16">
      <c r="A62" s="2" t="s">
        <v>113</v>
      </c>
      <c r="B62" s="2"/>
      <c r="C62" s="4">
        <v>44245</v>
      </c>
      <c r="D62" s="4"/>
      <c r="E62" s="4">
        <v>44271</v>
      </c>
      <c r="F62" s="5" t="s">
        <v>160</v>
      </c>
      <c r="G62" s="49">
        <v>15</v>
      </c>
      <c r="H62" s="5">
        <v>26.76</v>
      </c>
      <c r="I62" s="102">
        <f>67/30*28</f>
        <v>62.533333333333331</v>
      </c>
      <c r="J62" s="5"/>
      <c r="K62" s="5"/>
      <c r="L62" s="6">
        <v>140</v>
      </c>
      <c r="M62" s="61">
        <v>67</v>
      </c>
      <c r="N62" s="6">
        <f>(15+0.7*58)</f>
        <v>55.599999999999994</v>
      </c>
    </row>
    <row r="63" spans="1:16">
      <c r="A63" s="2" t="s">
        <v>114</v>
      </c>
      <c r="B63" s="2"/>
      <c r="C63" s="4">
        <v>44222</v>
      </c>
      <c r="D63" s="4"/>
      <c r="E63" s="4">
        <v>44279</v>
      </c>
      <c r="F63" s="5" t="s">
        <v>160</v>
      </c>
      <c r="G63" s="49">
        <v>12.5</v>
      </c>
      <c r="H63" s="5">
        <v>13.4</v>
      </c>
      <c r="I63" s="102">
        <f>56/30*58</f>
        <v>108.26666666666667</v>
      </c>
      <c r="J63" s="5">
        <v>100</v>
      </c>
      <c r="K63" s="5"/>
      <c r="L63" s="6">
        <v>140</v>
      </c>
      <c r="M63" s="61">
        <v>56</v>
      </c>
      <c r="N63" s="5">
        <f>(12.5+71.5*0.7)</f>
        <v>62.55</v>
      </c>
      <c r="O63" s="1" t="s">
        <v>145</v>
      </c>
    </row>
    <row r="64" spans="1:16">
      <c r="A64" s="2" t="s">
        <v>112</v>
      </c>
      <c r="B64" s="2"/>
      <c r="C64" s="4">
        <v>44270</v>
      </c>
      <c r="D64" s="4"/>
      <c r="E64" s="4">
        <v>44286</v>
      </c>
      <c r="F64" s="5" t="s">
        <v>160</v>
      </c>
      <c r="G64" s="49">
        <v>17.5</v>
      </c>
      <c r="H64" s="5">
        <v>31.96</v>
      </c>
      <c r="I64" s="102">
        <f>55/30*16</f>
        <v>29.333333333333332</v>
      </c>
      <c r="J64" s="5">
        <v>75</v>
      </c>
      <c r="K64" s="5"/>
      <c r="L64" s="6">
        <v>100</v>
      </c>
      <c r="M64" s="61">
        <v>55</v>
      </c>
      <c r="N64" s="6">
        <f>(17.5+27.5*0.7)</f>
        <v>36.75</v>
      </c>
    </row>
    <row r="65" spans="1:16">
      <c r="A65" s="22" t="s">
        <v>121</v>
      </c>
      <c r="B65" s="22"/>
      <c r="C65" s="4">
        <v>44316</v>
      </c>
      <c r="D65" s="4"/>
      <c r="E65" s="4">
        <v>44354</v>
      </c>
      <c r="F65" s="40"/>
      <c r="G65" s="2"/>
      <c r="H65" s="5">
        <v>15.15</v>
      </c>
      <c r="I65" s="102">
        <f>36/30*37</f>
        <v>44.4</v>
      </c>
      <c r="J65" s="5"/>
      <c r="K65" s="5"/>
      <c r="L65" s="6">
        <v>110</v>
      </c>
      <c r="M65" s="61">
        <v>36</v>
      </c>
      <c r="N65" s="5">
        <f>(L65-M65)*0.7</f>
        <v>51.8</v>
      </c>
      <c r="O65" s="1" t="s">
        <v>145</v>
      </c>
    </row>
    <row r="66" spans="1:16">
      <c r="A66" s="22" t="s">
        <v>126</v>
      </c>
      <c r="B66" s="22"/>
      <c r="C66" s="4">
        <v>44336</v>
      </c>
      <c r="D66" s="4"/>
      <c r="E66" s="4">
        <v>44370</v>
      </c>
      <c r="F66" s="5" t="s">
        <v>161</v>
      </c>
      <c r="G66" s="49">
        <v>17.5</v>
      </c>
      <c r="H66" s="5">
        <v>35.78</v>
      </c>
      <c r="I66" s="102">
        <f>58/30*33</f>
        <v>63.8</v>
      </c>
      <c r="J66" s="5">
        <v>50</v>
      </c>
      <c r="K66" s="5"/>
      <c r="L66" s="6">
        <v>150</v>
      </c>
      <c r="M66" s="61">
        <v>58</v>
      </c>
      <c r="N66" s="6">
        <f>(17.5+74.5*0.7)</f>
        <v>69.650000000000006</v>
      </c>
    </row>
    <row r="67" spans="1:16">
      <c r="A67" s="44" t="s">
        <v>125</v>
      </c>
      <c r="B67" s="44"/>
      <c r="C67" s="4">
        <v>44342</v>
      </c>
      <c r="D67" s="4"/>
      <c r="E67" s="4">
        <v>44386</v>
      </c>
      <c r="F67" s="5" t="s">
        <v>160</v>
      </c>
      <c r="G67" s="49">
        <v>12.5</v>
      </c>
      <c r="H67" s="5">
        <v>15.46</v>
      </c>
      <c r="I67" s="102">
        <f>36/30*43</f>
        <v>51.6</v>
      </c>
      <c r="J67" s="5">
        <f>50+45</f>
        <v>95</v>
      </c>
      <c r="K67" s="5"/>
      <c r="L67" s="6">
        <v>80</v>
      </c>
      <c r="M67" s="61">
        <v>33</v>
      </c>
      <c r="N67" s="6">
        <f>12.5+(L67-M67-12.5)*0.7</f>
        <v>36.65</v>
      </c>
    </row>
    <row r="68" spans="1:16">
      <c r="A68" s="44" t="s">
        <v>129</v>
      </c>
      <c r="B68" s="44"/>
      <c r="C68" s="4">
        <v>44348</v>
      </c>
      <c r="D68" s="4"/>
      <c r="E68" s="4">
        <v>44389</v>
      </c>
      <c r="F68" s="5" t="s">
        <v>160</v>
      </c>
      <c r="G68" s="49">
        <v>12.5</v>
      </c>
      <c r="H68" s="5">
        <v>26.22</v>
      </c>
      <c r="I68" s="102">
        <f>71/30*42</f>
        <v>99.4</v>
      </c>
      <c r="J68" s="5">
        <f>50+45</f>
        <v>95</v>
      </c>
      <c r="K68" s="5"/>
      <c r="L68" s="6">
        <v>140</v>
      </c>
      <c r="M68" s="61">
        <v>71</v>
      </c>
      <c r="N68" s="6">
        <f>(12.5+(127.5-71)*0.7)</f>
        <v>52.05</v>
      </c>
    </row>
    <row r="69" spans="1:16">
      <c r="A69" s="44" t="s">
        <v>124</v>
      </c>
      <c r="B69" s="44"/>
      <c r="C69" s="4">
        <v>44348</v>
      </c>
      <c r="D69" s="4"/>
      <c r="E69" s="4">
        <v>44389</v>
      </c>
      <c r="F69" s="40"/>
      <c r="G69" s="2"/>
      <c r="H69" s="5">
        <v>11.62</v>
      </c>
      <c r="I69" s="102">
        <f>26/30*42</f>
        <v>36.4</v>
      </c>
      <c r="J69" s="5">
        <v>65</v>
      </c>
      <c r="K69" s="5"/>
      <c r="L69" s="6">
        <v>70</v>
      </c>
      <c r="M69" s="61">
        <v>26</v>
      </c>
      <c r="N69" s="6">
        <f>(70-26)*0.7</f>
        <v>30.799999999999997</v>
      </c>
    </row>
    <row r="70" spans="1:16">
      <c r="A70" s="44" t="s">
        <v>132</v>
      </c>
      <c r="B70" s="44"/>
      <c r="C70" s="4">
        <v>44407</v>
      </c>
      <c r="D70" s="4"/>
      <c r="E70" s="4">
        <v>44461</v>
      </c>
      <c r="F70" s="40"/>
      <c r="G70" s="2"/>
      <c r="H70" s="5">
        <v>9.8800000000000008</v>
      </c>
      <c r="I70" s="102">
        <f>25/30*52</f>
        <v>43.333333333333336</v>
      </c>
      <c r="J70" s="5"/>
      <c r="K70" s="5"/>
      <c r="L70" s="6">
        <v>40</v>
      </c>
      <c r="M70" s="61">
        <v>25</v>
      </c>
      <c r="N70" s="6">
        <f>(L70-M70)*0.7</f>
        <v>10.5</v>
      </c>
    </row>
    <row r="71" spans="1:16">
      <c r="A71" s="44" t="s">
        <v>133</v>
      </c>
      <c r="B71" s="44"/>
      <c r="C71" s="4">
        <v>44432</v>
      </c>
      <c r="D71" s="4"/>
      <c r="E71" s="4">
        <v>44467</v>
      </c>
      <c r="F71" s="40"/>
      <c r="G71" s="2"/>
      <c r="H71" s="5">
        <v>9.8800000000000008</v>
      </c>
      <c r="I71" s="102">
        <f>25/30*34</f>
        <v>28.333333333333336</v>
      </c>
      <c r="J71" s="5"/>
      <c r="K71" s="5"/>
      <c r="L71" s="6">
        <v>40</v>
      </c>
      <c r="M71" s="61">
        <v>25</v>
      </c>
      <c r="N71" s="6">
        <f>(L71-M71)*0.7</f>
        <v>10.5</v>
      </c>
    </row>
    <row r="72" spans="1:16">
      <c r="A72" s="52" t="s">
        <v>141</v>
      </c>
      <c r="B72" s="52"/>
      <c r="C72" s="57">
        <v>44459</v>
      </c>
      <c r="D72" s="57"/>
      <c r="E72" s="57">
        <v>44481</v>
      </c>
      <c r="F72" s="10" t="s">
        <v>161</v>
      </c>
      <c r="G72" s="12">
        <v>10</v>
      </c>
      <c r="H72" s="25">
        <v>15.15</v>
      </c>
      <c r="I72" s="103">
        <f>46/30*22</f>
        <v>33.733333333333334</v>
      </c>
      <c r="J72" s="25">
        <v>80</v>
      </c>
      <c r="K72" s="25"/>
      <c r="L72" s="27">
        <v>120</v>
      </c>
      <c r="M72" s="64">
        <v>46</v>
      </c>
      <c r="N72" s="27">
        <f>10+(120-56)*0.7</f>
        <v>54.8</v>
      </c>
    </row>
    <row r="73" spans="1:16">
      <c r="A73" s="52" t="s">
        <v>140</v>
      </c>
      <c r="B73" s="52"/>
      <c r="C73" s="57">
        <v>44449</v>
      </c>
      <c r="D73" s="57"/>
      <c r="E73" s="57">
        <v>44482</v>
      </c>
      <c r="F73" s="25" t="s">
        <v>160</v>
      </c>
      <c r="G73" s="58">
        <v>10</v>
      </c>
      <c r="H73" s="25">
        <v>13.4</v>
      </c>
      <c r="I73" s="103">
        <f>60/30*33</f>
        <v>66</v>
      </c>
      <c r="J73" s="25">
        <v>80</v>
      </c>
      <c r="K73" s="25"/>
      <c r="L73" s="27">
        <v>120</v>
      </c>
      <c r="M73" s="64">
        <v>61</v>
      </c>
      <c r="N73" s="27">
        <f>(10+49*0.7)</f>
        <v>44.3</v>
      </c>
    </row>
    <row r="74" spans="1:16">
      <c r="A74" s="44" t="s">
        <v>137</v>
      </c>
      <c r="B74" s="44"/>
      <c r="C74" s="35">
        <v>44474</v>
      </c>
      <c r="D74" s="35"/>
      <c r="E74" s="35">
        <v>44487</v>
      </c>
      <c r="F74" s="10" t="s">
        <v>161</v>
      </c>
      <c r="G74" s="12">
        <v>12.5</v>
      </c>
      <c r="H74" s="5">
        <v>15.15</v>
      </c>
      <c r="I74" s="102">
        <f>71/30*13</f>
        <v>30.766666666666666</v>
      </c>
      <c r="J74" s="5">
        <v>95</v>
      </c>
      <c r="K74" s="5"/>
      <c r="L74" s="6">
        <v>140</v>
      </c>
      <c r="M74" s="61">
        <v>71</v>
      </c>
      <c r="N74" s="6">
        <f>12.5+(56.5)*0.7</f>
        <v>52.05</v>
      </c>
    </row>
    <row r="75" spans="1:16">
      <c r="A75" s="44" t="s">
        <v>143</v>
      </c>
      <c r="B75" s="44"/>
      <c r="C75" s="35">
        <v>43717</v>
      </c>
      <c r="D75" s="35"/>
      <c r="E75" s="35">
        <v>44505</v>
      </c>
      <c r="F75" s="40"/>
      <c r="G75" s="49"/>
      <c r="H75" s="5">
        <v>13.4</v>
      </c>
      <c r="I75" s="102">
        <f>36*25+36/30*26</f>
        <v>931.2</v>
      </c>
      <c r="J75" s="5"/>
      <c r="K75" s="5"/>
      <c r="L75" s="6">
        <v>100</v>
      </c>
      <c r="M75" s="61">
        <v>36</v>
      </c>
      <c r="N75" s="6">
        <f>(100-36)*0.7</f>
        <v>44.8</v>
      </c>
    </row>
    <row r="76" spans="1:16">
      <c r="A76" s="44" t="s">
        <v>139</v>
      </c>
      <c r="B76" s="44"/>
      <c r="C76" s="35">
        <v>44492</v>
      </c>
      <c r="D76" s="35"/>
      <c r="E76" s="35">
        <v>44539</v>
      </c>
      <c r="F76" s="40"/>
      <c r="G76" s="49"/>
      <c r="H76" s="5">
        <v>16.350000000000001</v>
      </c>
      <c r="I76" s="102">
        <f>71/30*46</f>
        <v>108.86666666666667</v>
      </c>
      <c r="J76" s="5">
        <v>95</v>
      </c>
      <c r="K76" s="5"/>
      <c r="L76" s="6">
        <v>140</v>
      </c>
      <c r="M76" s="61">
        <v>71</v>
      </c>
      <c r="N76" s="12">
        <f>(140-71)*0.7</f>
        <v>48.3</v>
      </c>
      <c r="O76" s="72" t="s">
        <v>329</v>
      </c>
      <c r="P76" s="72">
        <v>33.81</v>
      </c>
    </row>
    <row r="77" spans="1:16">
      <c r="A77" s="44" t="s">
        <v>144</v>
      </c>
      <c r="B77" s="44"/>
      <c r="C77" s="35">
        <v>44526</v>
      </c>
      <c r="D77" s="35"/>
      <c r="E77" s="35">
        <v>44550</v>
      </c>
      <c r="F77" s="5" t="s">
        <v>160</v>
      </c>
      <c r="G77" s="49">
        <v>12.5</v>
      </c>
      <c r="H77" s="5">
        <v>13.4</v>
      </c>
      <c r="I77" s="102">
        <f>83/30*24</f>
        <v>66.400000000000006</v>
      </c>
      <c r="J77" s="5"/>
      <c r="K77" s="5"/>
      <c r="L77" s="6">
        <v>140</v>
      </c>
      <c r="M77" s="61">
        <v>94</v>
      </c>
      <c r="N77" s="6">
        <f>12.5+(140-12.5-94)*0.7</f>
        <v>35.950000000000003</v>
      </c>
    </row>
    <row r="78" spans="1:16">
      <c r="A78" s="44" t="s">
        <v>149</v>
      </c>
      <c r="B78" s="44"/>
      <c r="C78" s="35">
        <v>44880</v>
      </c>
      <c r="D78" s="35"/>
      <c r="E78" s="35">
        <v>44575</v>
      </c>
      <c r="F78" s="40"/>
      <c r="G78" s="49"/>
      <c r="H78" s="5">
        <v>13.4</v>
      </c>
      <c r="I78" s="102"/>
      <c r="J78" s="5">
        <v>50</v>
      </c>
      <c r="K78" s="5"/>
      <c r="L78" s="6">
        <v>160</v>
      </c>
      <c r="M78" s="61">
        <f>71+9</f>
        <v>80</v>
      </c>
      <c r="N78" s="6">
        <f>(160-80)*0.7</f>
        <v>56</v>
      </c>
    </row>
    <row r="79" spans="1:16">
      <c r="A79" s="44" t="s">
        <v>146</v>
      </c>
      <c r="B79" s="44"/>
      <c r="C79" s="4">
        <v>44586</v>
      </c>
      <c r="D79" s="4"/>
      <c r="E79" s="4">
        <v>44615</v>
      </c>
      <c r="F79" s="10" t="s">
        <v>161</v>
      </c>
      <c r="G79" s="12">
        <v>12.5</v>
      </c>
      <c r="H79" s="5">
        <v>15.46</v>
      </c>
      <c r="I79" s="102">
        <f>27/30*28</f>
        <v>25.2</v>
      </c>
      <c r="J79" s="5">
        <v>110</v>
      </c>
      <c r="K79" s="5"/>
      <c r="L79" s="6">
        <v>154</v>
      </c>
      <c r="M79" s="61">
        <v>62</v>
      </c>
      <c r="N79" s="6">
        <f>12.5+(154-12.5-62)*0.7</f>
        <v>68.150000000000006</v>
      </c>
    </row>
    <row r="80" spans="1:16">
      <c r="A80" s="44" t="s">
        <v>148</v>
      </c>
      <c r="B80" s="44"/>
      <c r="C80" s="4">
        <v>44579</v>
      </c>
      <c r="D80" s="4"/>
      <c r="E80" s="4">
        <v>44594</v>
      </c>
      <c r="F80" s="40"/>
      <c r="G80" s="49"/>
      <c r="H80" s="5">
        <v>13.4</v>
      </c>
      <c r="I80" s="102">
        <f>22/30*14</f>
        <v>10.266666666666666</v>
      </c>
      <c r="J80" s="5">
        <v>30</v>
      </c>
      <c r="K80" s="5"/>
      <c r="L80" s="6">
        <v>50</v>
      </c>
      <c r="M80" s="61">
        <v>22</v>
      </c>
      <c r="N80" s="6">
        <f>(50-22)*0.7</f>
        <v>19.599999999999998</v>
      </c>
    </row>
    <row r="81" spans="1:14">
      <c r="A81" s="44" t="s">
        <v>150</v>
      </c>
      <c r="B81" s="44"/>
      <c r="C81" s="4">
        <v>44899</v>
      </c>
      <c r="D81" s="4"/>
      <c r="E81" s="4">
        <v>44607</v>
      </c>
      <c r="F81" s="12" t="s">
        <v>160</v>
      </c>
      <c r="G81" s="12">
        <v>12.5</v>
      </c>
      <c r="H81" s="5">
        <v>13.4</v>
      </c>
      <c r="I81" s="102">
        <f>71/30*61</f>
        <v>144.36666666666667</v>
      </c>
      <c r="J81" s="5">
        <v>80</v>
      </c>
      <c r="K81" s="5"/>
      <c r="L81" s="6">
        <v>120</v>
      </c>
      <c r="M81" s="61">
        <v>60</v>
      </c>
      <c r="N81" s="6">
        <f>12.5+(120-72.5)*0.7</f>
        <v>45.75</v>
      </c>
    </row>
    <row r="82" spans="1:14">
      <c r="A82" s="44" t="s">
        <v>151</v>
      </c>
      <c r="B82" s="44"/>
      <c r="C82" s="4">
        <v>44926</v>
      </c>
      <c r="D82" s="4"/>
      <c r="E82" s="4">
        <v>44649</v>
      </c>
      <c r="F82" s="40"/>
      <c r="G82" s="40"/>
      <c r="H82" s="5">
        <v>9.0299999999999994</v>
      </c>
      <c r="I82" s="102">
        <f>25*2+25/30*29</f>
        <v>74.166666666666671</v>
      </c>
      <c r="J82" s="5">
        <v>80</v>
      </c>
      <c r="K82" s="5"/>
      <c r="L82" s="6">
        <v>67.5</v>
      </c>
      <c r="M82" s="61">
        <v>25</v>
      </c>
      <c r="N82" s="6">
        <f>(67.5-25)*0.7</f>
        <v>29.749999999999996</v>
      </c>
    </row>
    <row r="83" spans="1:14">
      <c r="A83" s="44" t="s">
        <v>152</v>
      </c>
      <c r="B83" s="44"/>
      <c r="C83" s="4">
        <v>44852</v>
      </c>
      <c r="D83" s="4"/>
      <c r="E83" s="4">
        <v>44649</v>
      </c>
      <c r="F83" s="40"/>
      <c r="G83" s="40"/>
      <c r="H83" s="5">
        <v>9.0299999999999994</v>
      </c>
      <c r="I83" s="102">
        <f>45*4+45/30*13</f>
        <v>199.5</v>
      </c>
      <c r="J83" s="5">
        <v>80</v>
      </c>
      <c r="K83" s="5"/>
      <c r="L83" s="6">
        <v>67.5</v>
      </c>
      <c r="M83" s="61">
        <v>45</v>
      </c>
      <c r="N83" s="6">
        <f>(L83-M83)*0.7</f>
        <v>15.749999999999998</v>
      </c>
    </row>
    <row r="84" spans="1:14">
      <c r="A84" s="44" t="s">
        <v>153</v>
      </c>
      <c r="B84" s="44"/>
      <c r="C84" s="4">
        <v>44623</v>
      </c>
      <c r="D84" s="4"/>
      <c r="E84" s="4">
        <v>44623</v>
      </c>
      <c r="F84" s="40"/>
      <c r="G84" s="40"/>
      <c r="H84" s="5">
        <v>11.03</v>
      </c>
      <c r="I84" s="102">
        <v>0</v>
      </c>
      <c r="J84" s="5">
        <v>15</v>
      </c>
      <c r="K84" s="5"/>
      <c r="L84" s="6">
        <v>30</v>
      </c>
      <c r="M84" s="61">
        <v>12</v>
      </c>
      <c r="N84" s="6">
        <f>(L84-M84)*0.7</f>
        <v>12.6</v>
      </c>
    </row>
    <row r="85" spans="1:14">
      <c r="A85" s="44" t="s">
        <v>154</v>
      </c>
      <c r="B85" s="44"/>
      <c r="C85" s="4">
        <v>44881</v>
      </c>
      <c r="D85" s="4"/>
      <c r="E85" s="4">
        <v>44628</v>
      </c>
      <c r="F85" s="40"/>
      <c r="G85" s="40"/>
      <c r="H85" s="5">
        <v>9.0299999999999994</v>
      </c>
      <c r="I85" s="102">
        <f>65*3+65/30*22</f>
        <v>242.66666666666666</v>
      </c>
      <c r="J85" s="5">
        <v>95</v>
      </c>
      <c r="K85" s="5"/>
      <c r="L85" s="6">
        <v>112</v>
      </c>
      <c r="M85" s="61">
        <v>65</v>
      </c>
      <c r="N85" s="6">
        <f>(L85-M85)*0.7</f>
        <v>32.9</v>
      </c>
    </row>
    <row r="86" spans="1:14">
      <c r="A86" s="44" t="s">
        <v>155</v>
      </c>
      <c r="B86" s="44"/>
      <c r="C86" s="4">
        <v>44490</v>
      </c>
      <c r="D86" s="4"/>
      <c r="E86" s="4">
        <v>44648</v>
      </c>
      <c r="F86" s="40"/>
      <c r="G86" s="40"/>
      <c r="H86" s="5">
        <v>13.4</v>
      </c>
      <c r="I86" s="102">
        <f>45*5+45/30*7</f>
        <v>235.5</v>
      </c>
      <c r="J86" s="5">
        <v>80</v>
      </c>
      <c r="K86" s="5"/>
      <c r="L86" s="6">
        <v>67.5</v>
      </c>
      <c r="M86" s="61">
        <v>45</v>
      </c>
      <c r="N86" s="6">
        <f>(L86-M86)*0.7</f>
        <v>15.749999999999998</v>
      </c>
    </row>
    <row r="87" spans="1:14">
      <c r="A87" s="44" t="s">
        <v>156</v>
      </c>
      <c r="B87" s="44"/>
      <c r="C87" s="4">
        <v>44489</v>
      </c>
      <c r="D87" s="4"/>
      <c r="E87" s="4">
        <v>44651</v>
      </c>
      <c r="F87" s="40"/>
      <c r="G87" s="40"/>
      <c r="H87" s="5">
        <v>15.46</v>
      </c>
      <c r="I87" s="102">
        <f>50*5+50/10</f>
        <v>255</v>
      </c>
      <c r="J87" s="5">
        <v>145</v>
      </c>
      <c r="K87" s="5"/>
      <c r="L87" s="6">
        <v>125</v>
      </c>
      <c r="M87" s="61">
        <v>50</v>
      </c>
      <c r="N87" s="6">
        <f>(L87-M87)*0.7</f>
        <v>52.5</v>
      </c>
    </row>
    <row r="88" spans="1:14">
      <c r="A88" s="44" t="s">
        <v>157</v>
      </c>
      <c r="B88" s="44"/>
      <c r="C88" s="4">
        <v>44627</v>
      </c>
      <c r="D88" s="4"/>
      <c r="E88" s="4">
        <v>44627</v>
      </c>
      <c r="F88" s="10" t="s">
        <v>161</v>
      </c>
      <c r="G88" s="12">
        <v>10</v>
      </c>
      <c r="H88" s="5">
        <v>15.46</v>
      </c>
      <c r="I88" s="102">
        <v>0</v>
      </c>
      <c r="J88" s="5">
        <v>0</v>
      </c>
      <c r="K88" s="5"/>
      <c r="L88" s="6">
        <v>100</v>
      </c>
      <c r="M88" s="61">
        <v>44</v>
      </c>
      <c r="N88" s="6">
        <f>10+(46)*0.7</f>
        <v>42.199999999999996</v>
      </c>
    </row>
    <row r="89" spans="1:14">
      <c r="A89" s="44" t="s">
        <v>158</v>
      </c>
      <c r="B89" s="44"/>
      <c r="C89" s="4">
        <v>44627</v>
      </c>
      <c r="D89" s="4"/>
      <c r="E89" s="4">
        <v>44627</v>
      </c>
      <c r="F89" s="10" t="s">
        <v>161</v>
      </c>
      <c r="G89" s="12">
        <v>12.5</v>
      </c>
      <c r="H89" s="5">
        <v>15.46</v>
      </c>
      <c r="I89" s="102">
        <v>0</v>
      </c>
      <c r="J89" s="5">
        <v>0</v>
      </c>
      <c r="K89" s="5"/>
      <c r="L89" s="6">
        <v>125</v>
      </c>
      <c r="M89" s="61">
        <v>55</v>
      </c>
      <c r="N89" s="6">
        <f>12.5+(57.5)*0.7</f>
        <v>52.75</v>
      </c>
    </row>
    <row r="90" spans="1:14">
      <c r="A90" s="44" t="s">
        <v>171</v>
      </c>
      <c r="B90" s="44"/>
      <c r="C90" s="4">
        <v>44648</v>
      </c>
      <c r="D90" s="4"/>
      <c r="E90" s="4">
        <v>44734</v>
      </c>
      <c r="F90" s="40"/>
      <c r="G90" s="5"/>
      <c r="H90" s="5">
        <v>13.72</v>
      </c>
      <c r="I90" s="102">
        <f>56/30*84</f>
        <v>156.80000000000001</v>
      </c>
      <c r="J90" s="5">
        <v>95</v>
      </c>
      <c r="K90" s="5"/>
      <c r="L90" s="6">
        <v>140</v>
      </c>
      <c r="M90" s="61">
        <v>56</v>
      </c>
      <c r="N90" s="6">
        <f>(140-56)*0.7</f>
        <v>58.8</v>
      </c>
    </row>
    <row r="91" spans="1:14">
      <c r="A91" s="44" t="s">
        <v>172</v>
      </c>
      <c r="B91" s="44"/>
      <c r="C91" s="4">
        <v>44705</v>
      </c>
      <c r="D91" s="4"/>
      <c r="E91" s="4">
        <v>44715</v>
      </c>
      <c r="F91" s="40"/>
      <c r="G91" s="5"/>
      <c r="H91" s="5">
        <v>10.039999999999999</v>
      </c>
      <c r="I91" s="102">
        <f>25/30*9</f>
        <v>7.5</v>
      </c>
      <c r="J91" s="5"/>
      <c r="K91" s="5"/>
      <c r="L91" s="6">
        <v>50</v>
      </c>
      <c r="M91" s="61">
        <v>25</v>
      </c>
      <c r="N91" s="6">
        <f>(50-25)*0.7</f>
        <v>17.5</v>
      </c>
    </row>
    <row r="92" spans="1:14">
      <c r="A92" s="44" t="s">
        <v>173</v>
      </c>
      <c r="B92" s="44"/>
      <c r="C92" s="4">
        <v>44704</v>
      </c>
      <c r="D92" s="4"/>
      <c r="E92" s="4">
        <v>44721</v>
      </c>
      <c r="F92" s="10" t="s">
        <v>161</v>
      </c>
      <c r="G92" s="56">
        <v>12.5</v>
      </c>
      <c r="H92" s="5">
        <v>13.72</v>
      </c>
      <c r="I92" s="102">
        <f>37/30*16</f>
        <v>19.733333333333334</v>
      </c>
      <c r="J92" s="5">
        <f>50+45</f>
        <v>95</v>
      </c>
      <c r="K92" s="5"/>
      <c r="L92" s="6">
        <v>110</v>
      </c>
      <c r="M92" s="61">
        <v>37</v>
      </c>
      <c r="N92" s="56">
        <f>12.5+(97.5-37)*0.7</f>
        <v>54.849999999999994</v>
      </c>
    </row>
    <row r="93" spans="1:14">
      <c r="A93" s="44" t="s">
        <v>174</v>
      </c>
      <c r="B93" s="44"/>
      <c r="C93" s="4">
        <v>44715</v>
      </c>
      <c r="D93" s="4"/>
      <c r="E93" s="4">
        <v>44820</v>
      </c>
      <c r="F93" s="10" t="s">
        <v>161</v>
      </c>
      <c r="G93" s="56">
        <v>15</v>
      </c>
      <c r="H93" s="5">
        <v>14.6</v>
      </c>
      <c r="I93" s="102">
        <f>56/30*103</f>
        <v>192.26666666666668</v>
      </c>
      <c r="J93" s="5">
        <v>50</v>
      </c>
      <c r="K93" s="5"/>
      <c r="L93" s="6">
        <f>130</f>
        <v>130</v>
      </c>
      <c r="M93" s="61">
        <v>56</v>
      </c>
      <c r="N93" s="56">
        <f>15+(115-56)*0.7</f>
        <v>56.3</v>
      </c>
    </row>
    <row r="94" spans="1:14">
      <c r="A94" s="44" t="s">
        <v>183</v>
      </c>
      <c r="B94" s="44"/>
      <c r="C94" s="4">
        <v>44749</v>
      </c>
      <c r="D94" s="4">
        <v>44830</v>
      </c>
      <c r="E94" s="4">
        <v>44858</v>
      </c>
      <c r="F94" s="40"/>
      <c r="G94" s="5"/>
      <c r="H94" s="5">
        <v>11.03</v>
      </c>
      <c r="I94" s="102">
        <v>25</v>
      </c>
      <c r="J94" s="5">
        <v>15</v>
      </c>
      <c r="K94" s="5"/>
      <c r="L94" s="6">
        <v>80</v>
      </c>
      <c r="M94" s="61">
        <v>25</v>
      </c>
      <c r="N94" s="6">
        <f>55*0.7</f>
        <v>38.5</v>
      </c>
    </row>
    <row r="95" spans="1:14">
      <c r="A95" s="44" t="s">
        <v>184</v>
      </c>
      <c r="B95" s="44"/>
      <c r="C95" s="4">
        <v>44775</v>
      </c>
      <c r="D95" s="4">
        <v>44810</v>
      </c>
      <c r="E95" s="4">
        <v>44848</v>
      </c>
      <c r="F95" s="40"/>
      <c r="G95" s="5"/>
      <c r="H95" s="5">
        <v>23.38</v>
      </c>
      <c r="I95" s="102">
        <f>100/30*38</f>
        <v>126.66666666666667</v>
      </c>
      <c r="J95" s="5">
        <v>155</v>
      </c>
      <c r="K95" s="5"/>
      <c r="L95" s="6">
        <v>220</v>
      </c>
      <c r="M95" s="61">
        <v>100</v>
      </c>
      <c r="N95" s="6">
        <v>90.75</v>
      </c>
    </row>
    <row r="96" spans="1:14">
      <c r="A96" s="44" t="s">
        <v>185</v>
      </c>
      <c r="B96" s="44"/>
      <c r="C96" s="4">
        <v>44830</v>
      </c>
      <c r="D96" s="4">
        <v>44852</v>
      </c>
      <c r="E96" s="4">
        <v>44858</v>
      </c>
      <c r="F96" s="10" t="s">
        <v>161</v>
      </c>
      <c r="G96" s="12">
        <v>15</v>
      </c>
      <c r="H96" s="5">
        <v>23.38</v>
      </c>
      <c r="I96" s="102">
        <f>54.5/30*6</f>
        <v>10.9</v>
      </c>
      <c r="J96" s="5">
        <v>95</v>
      </c>
      <c r="K96" s="5"/>
      <c r="L96" s="6">
        <v>160</v>
      </c>
      <c r="M96" s="61">
        <v>64.5</v>
      </c>
      <c r="N96" s="6">
        <f>15+(145-64.5)*0.7</f>
        <v>71.349999999999994</v>
      </c>
    </row>
    <row r="97" spans="1:16">
      <c r="A97" s="44" t="s">
        <v>190</v>
      </c>
      <c r="B97" s="44"/>
      <c r="C97" s="4"/>
      <c r="D97" s="4">
        <v>44879</v>
      </c>
      <c r="E97" s="35">
        <v>44887</v>
      </c>
      <c r="F97" s="44" t="s">
        <v>161</v>
      </c>
      <c r="G97" s="56">
        <v>10</v>
      </c>
      <c r="H97" s="5">
        <v>14.6</v>
      </c>
      <c r="I97" s="102">
        <f>34/30*8</f>
        <v>9.0666666666666664</v>
      </c>
      <c r="J97" s="5">
        <v>45</v>
      </c>
      <c r="K97" s="5"/>
      <c r="L97" s="6">
        <v>90</v>
      </c>
      <c r="M97" s="61">
        <v>34</v>
      </c>
      <c r="N97" s="56">
        <f>10+(80-34)*0.7</f>
        <v>42.199999999999996</v>
      </c>
    </row>
    <row r="98" spans="1:16">
      <c r="A98" s="44" t="s">
        <v>193</v>
      </c>
      <c r="B98" s="44"/>
      <c r="C98" s="4">
        <v>44872</v>
      </c>
      <c r="D98" s="4">
        <v>44879</v>
      </c>
      <c r="E98" s="35">
        <v>44882</v>
      </c>
      <c r="F98" s="40"/>
      <c r="G98" s="5"/>
      <c r="H98" s="5">
        <v>10.039999999999999</v>
      </c>
      <c r="I98" s="102">
        <f>25/30*3</f>
        <v>2.5</v>
      </c>
      <c r="J98" s="5"/>
      <c r="K98" s="5"/>
      <c r="L98" s="6">
        <v>40</v>
      </c>
      <c r="M98" s="61">
        <v>25</v>
      </c>
      <c r="N98" s="6">
        <f>(L98-M98)*0.7</f>
        <v>10.5</v>
      </c>
    </row>
    <row r="99" spans="1:16">
      <c r="A99" s="44" t="s">
        <v>213</v>
      </c>
      <c r="B99" s="44"/>
      <c r="C99" s="4">
        <v>44894</v>
      </c>
      <c r="D99" s="4">
        <v>44908</v>
      </c>
      <c r="E99" s="35">
        <v>44944</v>
      </c>
      <c r="F99" s="40" t="s">
        <v>161</v>
      </c>
      <c r="G99" s="5">
        <v>15</v>
      </c>
      <c r="H99" s="5">
        <v>31.72</v>
      </c>
      <c r="I99" s="102">
        <f>50/30*35</f>
        <v>58.333333333333336</v>
      </c>
      <c r="J99" s="5">
        <f>60+50</f>
        <v>110</v>
      </c>
      <c r="K99" s="5"/>
      <c r="L99" s="6">
        <v>130</v>
      </c>
      <c r="M99" s="61">
        <f>19+2+3.5*2+11*2</f>
        <v>50</v>
      </c>
      <c r="N99" s="94">
        <f>15+(L99-M99-15)*0.7</f>
        <v>60.5</v>
      </c>
    </row>
    <row r="100" spans="1:16">
      <c r="A100" s="44" t="s">
        <v>227</v>
      </c>
      <c r="B100" s="44"/>
      <c r="C100" s="4">
        <v>44949</v>
      </c>
      <c r="D100" s="4">
        <v>44953</v>
      </c>
      <c r="E100" s="35">
        <v>44966</v>
      </c>
      <c r="F100" s="40" t="s">
        <v>160</v>
      </c>
      <c r="G100" s="5">
        <v>15</v>
      </c>
      <c r="H100" s="5">
        <v>16.38</v>
      </c>
      <c r="I100" s="102">
        <f>61.5/30*12</f>
        <v>24.599999999999998</v>
      </c>
      <c r="J100" s="5">
        <f>50+60</f>
        <v>110</v>
      </c>
      <c r="K100" s="5"/>
      <c r="L100" s="6">
        <v>160</v>
      </c>
      <c r="M100" s="65">
        <f>32.5+7+22</f>
        <v>61.5</v>
      </c>
      <c r="N100" s="59">
        <f>15+(L100-M100-15)*0.7</f>
        <v>73.449999999999989</v>
      </c>
    </row>
    <row r="101" spans="1:16">
      <c r="A101" s="44" t="s">
        <v>228</v>
      </c>
      <c r="B101" s="44"/>
      <c r="C101" s="4">
        <v>44957</v>
      </c>
      <c r="D101" s="4">
        <v>44957</v>
      </c>
      <c r="E101" s="35">
        <v>44977</v>
      </c>
      <c r="F101" s="40"/>
      <c r="G101" s="5"/>
      <c r="H101" s="5">
        <v>20.61</v>
      </c>
      <c r="I101" s="102">
        <f>66/30*20</f>
        <v>44</v>
      </c>
      <c r="J101" s="5">
        <v>90</v>
      </c>
      <c r="K101" s="5"/>
      <c r="L101" s="6">
        <v>155</v>
      </c>
      <c r="M101" s="65">
        <v>54</v>
      </c>
      <c r="N101" s="59">
        <f>(L101-M101)*0.7</f>
        <v>70.699999999999989</v>
      </c>
    </row>
    <row r="102" spans="1:16">
      <c r="A102" s="44" t="s">
        <v>255</v>
      </c>
      <c r="B102" s="44"/>
      <c r="C102" s="35">
        <v>44691</v>
      </c>
      <c r="D102" s="35">
        <v>44994</v>
      </c>
      <c r="E102" s="4">
        <v>44994</v>
      </c>
      <c r="F102" s="40"/>
      <c r="G102" s="40"/>
      <c r="H102" s="5">
        <v>11.03</v>
      </c>
      <c r="I102" s="102">
        <f>25*14</f>
        <v>350</v>
      </c>
      <c r="J102" s="40">
        <f>30+50</f>
        <v>80</v>
      </c>
      <c r="K102" s="40"/>
      <c r="L102" s="6">
        <v>90</v>
      </c>
      <c r="M102" s="6">
        <v>25</v>
      </c>
      <c r="N102" s="59">
        <v>48.5</v>
      </c>
    </row>
    <row r="103" spans="1:16">
      <c r="A103" s="44" t="s">
        <v>187</v>
      </c>
      <c r="B103" s="44"/>
      <c r="C103" s="35"/>
      <c r="D103" s="35">
        <v>44991</v>
      </c>
      <c r="E103" s="4">
        <v>44991</v>
      </c>
      <c r="F103" s="40"/>
      <c r="G103" s="40"/>
      <c r="H103" s="5">
        <v>13.31</v>
      </c>
      <c r="I103" s="102"/>
      <c r="J103" s="40">
        <v>45</v>
      </c>
      <c r="K103" s="40"/>
      <c r="L103" s="6">
        <v>80</v>
      </c>
      <c r="M103" s="6">
        <v>27</v>
      </c>
      <c r="N103" s="59">
        <f>(L103-M103)*0.7</f>
        <v>37.099999999999994</v>
      </c>
    </row>
    <row r="104" spans="1:16">
      <c r="A104" s="76" t="s">
        <v>276</v>
      </c>
      <c r="B104" s="44"/>
      <c r="C104" s="35">
        <v>45061</v>
      </c>
      <c r="D104" s="35">
        <v>45070</v>
      </c>
      <c r="E104" s="4"/>
      <c r="F104" s="40"/>
      <c r="G104" s="40"/>
      <c r="H104" s="5">
        <v>11.48</v>
      </c>
      <c r="I104" s="102">
        <f>21/30*9</f>
        <v>6.3</v>
      </c>
      <c r="J104" s="40"/>
      <c r="K104" s="40"/>
      <c r="L104" s="17">
        <f>50</f>
        <v>50</v>
      </c>
      <c r="M104" s="18">
        <v>21</v>
      </c>
      <c r="N104" s="70">
        <f>(50-21)*0.7</f>
        <v>20.299999999999997</v>
      </c>
    </row>
    <row r="105" spans="1:16">
      <c r="A105" s="76" t="s">
        <v>279</v>
      </c>
      <c r="B105" s="44"/>
      <c r="C105" s="35">
        <v>45065</v>
      </c>
      <c r="D105" s="35">
        <v>45070</v>
      </c>
      <c r="E105" s="4"/>
      <c r="F105" s="40"/>
      <c r="G105" s="40"/>
      <c r="H105" s="5">
        <v>11.48</v>
      </c>
      <c r="I105" s="102">
        <f>21/30*5</f>
        <v>3.5</v>
      </c>
      <c r="J105" s="40"/>
      <c r="K105" s="40"/>
      <c r="L105" s="17">
        <f>50</f>
        <v>50</v>
      </c>
      <c r="M105" s="18">
        <v>21</v>
      </c>
      <c r="N105" s="70">
        <f>(50-21)*0.7</f>
        <v>20.299999999999997</v>
      </c>
    </row>
    <row r="106" spans="1:16">
      <c r="A106" s="76" t="s">
        <v>278</v>
      </c>
      <c r="B106" s="52"/>
      <c r="C106" s="57">
        <v>44973</v>
      </c>
      <c r="D106" s="57">
        <v>45070</v>
      </c>
      <c r="E106" s="24"/>
      <c r="F106" s="48"/>
      <c r="G106" s="48"/>
      <c r="H106" s="25">
        <v>11.48</v>
      </c>
      <c r="I106" s="103">
        <f>21/30*98</f>
        <v>68.599999999999994</v>
      </c>
      <c r="J106" s="48"/>
      <c r="K106" s="48"/>
      <c r="L106" s="17">
        <v>50</v>
      </c>
      <c r="M106" s="26">
        <v>21</v>
      </c>
      <c r="N106" s="85">
        <f>(50-21)*0.7</f>
        <v>20.299999999999997</v>
      </c>
    </row>
    <row r="107" spans="1:16">
      <c r="A107" s="44" t="s">
        <v>289</v>
      </c>
      <c r="B107" s="44"/>
      <c r="C107" s="35">
        <v>45110</v>
      </c>
      <c r="D107" s="35">
        <v>45127</v>
      </c>
      <c r="E107" s="4">
        <v>45110</v>
      </c>
      <c r="F107" s="40"/>
      <c r="G107" s="40"/>
      <c r="H107" s="5">
        <v>13.31</v>
      </c>
      <c r="I107" s="102">
        <f>27/30*17</f>
        <v>15.3</v>
      </c>
      <c r="J107" s="40">
        <v>45</v>
      </c>
      <c r="K107" s="40"/>
      <c r="L107" s="6">
        <v>75</v>
      </c>
      <c r="M107" s="6">
        <v>27</v>
      </c>
      <c r="N107" s="59">
        <f>(L107-M107)*0.7</f>
        <v>33.599999999999994</v>
      </c>
    </row>
    <row r="108" spans="1:16">
      <c r="A108" s="44" t="s">
        <v>292</v>
      </c>
      <c r="B108" s="44"/>
      <c r="C108" s="35">
        <v>45138</v>
      </c>
      <c r="D108" s="35">
        <v>45139</v>
      </c>
      <c r="E108" s="35">
        <v>45162</v>
      </c>
      <c r="F108" s="40"/>
      <c r="G108" s="40"/>
      <c r="H108" s="5">
        <v>12.48</v>
      </c>
      <c r="I108" s="102">
        <f>27/30*23</f>
        <v>20.7</v>
      </c>
      <c r="J108" s="40">
        <v>45</v>
      </c>
      <c r="K108" s="40"/>
      <c r="L108" s="6">
        <v>90</v>
      </c>
      <c r="M108" s="6">
        <v>27</v>
      </c>
      <c r="N108" s="59">
        <f>(L108-M108)*0.7</f>
        <v>44.099999999999994</v>
      </c>
    </row>
    <row r="109" spans="1:16">
      <c r="A109" s="44" t="s">
        <v>293</v>
      </c>
      <c r="B109" s="44"/>
      <c r="C109" s="35">
        <v>45086</v>
      </c>
      <c r="D109" s="35">
        <v>45089</v>
      </c>
      <c r="E109" s="4">
        <v>45103</v>
      </c>
      <c r="F109" s="40"/>
      <c r="G109" s="40"/>
      <c r="H109" s="5">
        <v>11.03</v>
      </c>
      <c r="I109" s="102">
        <f>21/30*14</f>
        <v>9.7999999999999989</v>
      </c>
      <c r="J109" s="40"/>
      <c r="K109" s="40"/>
      <c r="L109" s="6">
        <v>50</v>
      </c>
      <c r="M109" s="6">
        <v>21</v>
      </c>
      <c r="N109" s="59">
        <f>(L109-M109)*0.7</f>
        <v>20.299999999999997</v>
      </c>
    </row>
    <row r="110" spans="1:16">
      <c r="A110" s="44" t="s">
        <v>295</v>
      </c>
      <c r="B110" s="44"/>
      <c r="C110" s="35">
        <v>45228</v>
      </c>
      <c r="D110" s="35">
        <v>45203</v>
      </c>
      <c r="E110" s="4"/>
      <c r="F110" s="40"/>
      <c r="G110" s="40"/>
      <c r="H110" s="5">
        <v>13.31</v>
      </c>
      <c r="I110" s="102">
        <f>27/30*5</f>
        <v>4.5</v>
      </c>
      <c r="J110" s="40">
        <v>45</v>
      </c>
      <c r="K110" s="40"/>
      <c r="L110" s="6">
        <v>80</v>
      </c>
      <c r="M110" s="6">
        <v>27</v>
      </c>
      <c r="N110" s="59">
        <f>(L110-M110)*0.7</f>
        <v>37.099999999999994</v>
      </c>
    </row>
    <row r="111" spans="1:16">
      <c r="A111" s="44" t="s">
        <v>320</v>
      </c>
      <c r="B111" s="44"/>
      <c r="C111" s="35">
        <v>45177</v>
      </c>
      <c r="D111" s="35">
        <v>45196</v>
      </c>
      <c r="E111" s="4"/>
      <c r="F111" s="40"/>
      <c r="G111" s="40"/>
      <c r="H111" s="5">
        <v>10.44</v>
      </c>
      <c r="I111" s="102">
        <f>38/30*21</f>
        <v>26.599999999999998</v>
      </c>
      <c r="J111" s="40"/>
      <c r="K111" s="40"/>
      <c r="L111" s="6">
        <v>69</v>
      </c>
      <c r="M111" s="6">
        <v>38</v>
      </c>
      <c r="N111" s="59">
        <f>(69-38)*0.7</f>
        <v>21.7</v>
      </c>
    </row>
    <row r="112" spans="1:16">
      <c r="A112" s="44" t="s">
        <v>325</v>
      </c>
      <c r="B112" s="44"/>
      <c r="C112" s="35"/>
      <c r="D112" s="35">
        <v>45223</v>
      </c>
      <c r="E112" s="4">
        <v>45239</v>
      </c>
      <c r="F112" s="40"/>
      <c r="G112" s="40"/>
      <c r="H112" s="5">
        <v>40</v>
      </c>
      <c r="I112" s="102">
        <f>43/30*15</f>
        <v>21.5</v>
      </c>
      <c r="J112" s="40"/>
      <c r="K112" s="40"/>
      <c r="L112" s="6">
        <v>69</v>
      </c>
      <c r="M112" s="6">
        <v>43</v>
      </c>
      <c r="N112" s="94">
        <f>(69-43)*0.7</f>
        <v>18.2</v>
      </c>
      <c r="O112" s="72" t="s">
        <v>329</v>
      </c>
      <c r="P112" s="72">
        <v>12.74</v>
      </c>
    </row>
    <row r="113" spans="1:15">
      <c r="A113" s="44" t="s">
        <v>326</v>
      </c>
      <c r="B113" s="44"/>
      <c r="C113" s="35"/>
      <c r="D113" s="35">
        <v>45188</v>
      </c>
      <c r="E113" s="4">
        <v>45209</v>
      </c>
      <c r="F113" s="40"/>
      <c r="G113" s="40"/>
      <c r="H113" s="5">
        <v>11.48</v>
      </c>
      <c r="I113" s="102"/>
      <c r="J113" s="40"/>
      <c r="K113" s="40"/>
      <c r="L113" s="6">
        <v>59</v>
      </c>
      <c r="M113" s="6">
        <v>38</v>
      </c>
      <c r="N113" s="59">
        <f>(L113-M113)*0.7</f>
        <v>14.7</v>
      </c>
    </row>
    <row r="114" spans="1:15">
      <c r="A114" s="44" t="s">
        <v>108</v>
      </c>
      <c r="B114" s="44"/>
      <c r="C114" s="35"/>
      <c r="D114" s="35">
        <v>45231</v>
      </c>
      <c r="E114" s="4">
        <v>45231</v>
      </c>
      <c r="F114" s="40"/>
      <c r="G114" s="40"/>
      <c r="H114" s="5"/>
      <c r="I114" s="102"/>
      <c r="J114" s="40"/>
      <c r="K114" s="40"/>
      <c r="L114" s="6">
        <v>69</v>
      </c>
      <c r="M114" s="6">
        <v>43</v>
      </c>
      <c r="N114" s="59">
        <f>(L114-M114)*0.7</f>
        <v>18.2</v>
      </c>
    </row>
    <row r="115" spans="1:15">
      <c r="A115" s="44" t="s">
        <v>327</v>
      </c>
      <c r="B115" s="44"/>
      <c r="C115" s="35"/>
      <c r="D115" s="35"/>
      <c r="E115" s="4">
        <v>45127</v>
      </c>
      <c r="F115" s="40"/>
      <c r="G115" s="40"/>
      <c r="H115" s="5">
        <v>11.48</v>
      </c>
      <c r="I115" s="102"/>
      <c r="J115" s="40"/>
      <c r="K115" s="40"/>
      <c r="L115" s="6">
        <v>25</v>
      </c>
      <c r="M115" s="6">
        <v>9</v>
      </c>
      <c r="N115" s="59">
        <f>(L115-M115)*0.7</f>
        <v>11.2</v>
      </c>
    </row>
    <row r="116" spans="1:15">
      <c r="A116" s="44" t="s">
        <v>336</v>
      </c>
      <c r="B116" s="44"/>
      <c r="C116" s="35"/>
      <c r="D116" s="35">
        <v>45278</v>
      </c>
      <c r="E116" s="4">
        <v>45278</v>
      </c>
      <c r="F116" s="40"/>
      <c r="G116" s="40"/>
      <c r="H116" s="5"/>
      <c r="I116" s="102"/>
      <c r="J116" s="40"/>
      <c r="K116" s="40"/>
      <c r="L116" s="6">
        <v>69</v>
      </c>
      <c r="M116" s="6">
        <v>43</v>
      </c>
      <c r="N116" s="59">
        <f>(69-43)*0.7/30*42</f>
        <v>25.48</v>
      </c>
    </row>
    <row r="117" spans="1:15">
      <c r="A117" s="10" t="s">
        <v>337</v>
      </c>
      <c r="B117" s="44"/>
      <c r="C117" s="35">
        <v>45342</v>
      </c>
      <c r="D117" s="35">
        <v>44977</v>
      </c>
      <c r="E117" s="4">
        <v>45342</v>
      </c>
      <c r="F117" s="40"/>
      <c r="G117" s="40"/>
      <c r="H117" s="5">
        <v>13.78</v>
      </c>
      <c r="I117" s="102"/>
      <c r="J117" s="40">
        <f>45+50</f>
        <v>95</v>
      </c>
      <c r="K117" s="40"/>
      <c r="L117" s="6">
        <v>100</v>
      </c>
      <c r="M117" s="6">
        <v>38.5</v>
      </c>
      <c r="N117" s="59">
        <f>(L117-M117)*0.7/30*20</f>
        <v>28.699999999999996</v>
      </c>
    </row>
    <row r="118" spans="1:15">
      <c r="A118" s="44" t="s">
        <v>338</v>
      </c>
      <c r="B118" s="44"/>
      <c r="C118" s="35">
        <v>45271</v>
      </c>
      <c r="D118" s="35"/>
      <c r="E118" s="4">
        <v>45301</v>
      </c>
      <c r="F118" s="40"/>
      <c r="G118" s="40"/>
      <c r="H118" s="5">
        <v>14.26</v>
      </c>
      <c r="I118" s="102">
        <f>25/30*29</f>
        <v>24.166666666666668</v>
      </c>
      <c r="J118" s="40">
        <f>30+50</f>
        <v>80</v>
      </c>
      <c r="K118" s="40"/>
      <c r="L118" s="6">
        <v>80</v>
      </c>
      <c r="M118" s="6">
        <v>29</v>
      </c>
      <c r="N118" s="59">
        <f>(L118-M118)*0.7</f>
        <v>35.699999999999996</v>
      </c>
      <c r="O118" t="s">
        <v>339</v>
      </c>
    </row>
    <row r="119" spans="1:15">
      <c r="A119" s="10" t="s">
        <v>333</v>
      </c>
      <c r="B119" s="44"/>
      <c r="C119" s="35"/>
      <c r="D119" s="35"/>
      <c r="E119" s="4">
        <v>45336</v>
      </c>
      <c r="F119" s="40"/>
      <c r="G119" s="40"/>
      <c r="H119" s="5">
        <v>10</v>
      </c>
      <c r="I119" s="102">
        <v>0</v>
      </c>
      <c r="J119" s="40">
        <v>120</v>
      </c>
      <c r="K119" s="40"/>
      <c r="L119" s="6">
        <v>160</v>
      </c>
      <c r="M119" s="6">
        <v>72</v>
      </c>
      <c r="N119" s="59">
        <f>(L119-M119)*0.7/30*15</f>
        <v>30.799999999999997</v>
      </c>
    </row>
    <row r="120" spans="1:15">
      <c r="A120" s="10" t="s">
        <v>343</v>
      </c>
      <c r="B120" s="44"/>
      <c r="C120" s="35"/>
      <c r="D120" s="35"/>
      <c r="E120" s="4">
        <v>45336</v>
      </c>
      <c r="F120" s="40"/>
      <c r="G120" s="40"/>
      <c r="H120" s="5">
        <v>10.92</v>
      </c>
      <c r="I120" s="102"/>
      <c r="J120" s="40"/>
      <c r="K120" s="40"/>
      <c r="L120" s="6">
        <v>59</v>
      </c>
      <c r="M120" s="6">
        <v>38</v>
      </c>
      <c r="N120" s="59">
        <f>(L120-M120)*0.7/30*15</f>
        <v>7.35</v>
      </c>
    </row>
    <row r="121" spans="1:15">
      <c r="A121" s="10" t="s">
        <v>344</v>
      </c>
      <c r="B121" s="44"/>
      <c r="C121" s="35"/>
      <c r="D121" s="35">
        <v>45323</v>
      </c>
      <c r="E121" s="4">
        <v>45323</v>
      </c>
      <c r="F121" s="40"/>
      <c r="G121" s="40"/>
      <c r="H121" s="5">
        <v>10.92</v>
      </c>
      <c r="I121" s="102"/>
      <c r="J121" s="40"/>
      <c r="K121" s="40"/>
      <c r="L121" s="6">
        <v>40</v>
      </c>
      <c r="M121" s="6">
        <v>32.5</v>
      </c>
      <c r="N121" s="59">
        <f>(L121-M121)*0.7</f>
        <v>5.25</v>
      </c>
    </row>
    <row r="122" spans="1:15">
      <c r="A122" s="10" t="s">
        <v>345</v>
      </c>
      <c r="B122" s="44"/>
      <c r="C122" s="35"/>
      <c r="D122" s="35"/>
      <c r="E122" s="4">
        <v>45345</v>
      </c>
      <c r="F122" s="40"/>
      <c r="G122" s="40"/>
      <c r="H122" s="5">
        <v>24.2</v>
      </c>
      <c r="I122" s="102"/>
      <c r="J122" s="40">
        <v>45</v>
      </c>
      <c r="K122" s="40"/>
      <c r="L122" s="6">
        <v>90</v>
      </c>
      <c r="M122" s="6">
        <f>7+9</f>
        <v>16</v>
      </c>
      <c r="N122" s="59">
        <f>(L122-M122)*0.7/30*7</f>
        <v>12.086666666666666</v>
      </c>
    </row>
    <row r="123" spans="1:15">
      <c r="A123" s="10" t="s">
        <v>346</v>
      </c>
      <c r="B123" s="44"/>
      <c r="C123" s="35"/>
      <c r="D123" s="35"/>
      <c r="E123" s="4">
        <v>45334</v>
      </c>
      <c r="F123" s="40"/>
      <c r="G123" s="40"/>
      <c r="H123" s="5">
        <v>12.01</v>
      </c>
      <c r="I123" s="102"/>
      <c r="J123" s="40">
        <v>15</v>
      </c>
      <c r="K123" s="40"/>
      <c r="L123" s="6">
        <v>20</v>
      </c>
      <c r="M123" s="6">
        <v>9</v>
      </c>
      <c r="N123" s="70">
        <f>(L123-M123)*0.7/30*18</f>
        <v>4.62</v>
      </c>
    </row>
    <row r="124" spans="1:15">
      <c r="C124" s="36"/>
      <c r="D124" s="36"/>
      <c r="F124" s="28"/>
      <c r="G124" s="28"/>
      <c r="H124" s="30"/>
      <c r="I124" s="104"/>
      <c r="M124" s="62" t="s">
        <v>4</v>
      </c>
      <c r="N124" s="18">
        <f>SUM(N2:N123)</f>
        <v>4359.586666666667</v>
      </c>
    </row>
    <row r="125" spans="1:15">
      <c r="C125" s="36"/>
      <c r="D125" s="36"/>
      <c r="F125" s="28"/>
      <c r="G125" s="28"/>
      <c r="H125" s="30"/>
      <c r="I125" s="104"/>
      <c r="M125" s="61" t="s">
        <v>251</v>
      </c>
      <c r="N125" s="6">
        <v>4029.54</v>
      </c>
    </row>
    <row r="126" spans="1:15">
      <c r="C126" s="36"/>
      <c r="D126" s="36"/>
      <c r="F126" s="28"/>
      <c r="G126" s="28"/>
      <c r="H126" s="30"/>
      <c r="I126" s="104"/>
    </row>
    <row r="128" spans="1:15">
      <c r="A128" s="28"/>
      <c r="B128" s="28"/>
      <c r="E128" s="15"/>
      <c r="F128" s="1"/>
      <c r="G128" s="1"/>
      <c r="H128" s="1"/>
      <c r="J128" s="1"/>
      <c r="K128" s="1"/>
      <c r="L128" s="1"/>
      <c r="M128" s="1"/>
      <c r="N128" s="29"/>
    </row>
    <row r="129" spans="8:16">
      <c r="L129" s="1"/>
      <c r="M129" s="1"/>
    </row>
    <row r="130" spans="8:16">
      <c r="H130" s="30"/>
      <c r="L130" s="1"/>
      <c r="M130" t="s">
        <v>334</v>
      </c>
      <c r="N130" t="s">
        <v>335</v>
      </c>
    </row>
    <row r="131" spans="8:16">
      <c r="M131" t="s">
        <v>355</v>
      </c>
      <c r="P131" s="42">
        <v>-20</v>
      </c>
    </row>
    <row r="132" spans="8:16">
      <c r="M132" s="66" t="s">
        <v>342</v>
      </c>
    </row>
    <row r="133" spans="8:16">
      <c r="M133" s="66" t="s">
        <v>354</v>
      </c>
      <c r="P133" s="42">
        <v>-55</v>
      </c>
    </row>
    <row r="134" spans="8:16">
      <c r="M134" s="66" t="s">
        <v>352</v>
      </c>
      <c r="P134">
        <v>42</v>
      </c>
    </row>
    <row r="135" spans="8:16">
      <c r="M135" s="66" t="s">
        <v>353</v>
      </c>
      <c r="P135" s="42">
        <v>-49</v>
      </c>
    </row>
  </sheetData>
  <autoFilter ref="A1:P125">
    <sortState ref="A2:P101">
      <sortCondition ref="B1:B101"/>
    </sortState>
  </autoFilter>
  <pageMargins left="0.7" right="0.7" top="0.75" bottom="0.75" header="0.3" footer="0.3"/>
  <pageSetup paperSize="9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>
  <dimension ref="A1:P136"/>
  <sheetViews>
    <sheetView topLeftCell="C116" workbookViewId="0">
      <selection activeCell="N126" sqref="N126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3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50</v>
      </c>
      <c r="M5" s="61">
        <v>22</v>
      </c>
      <c r="N5" s="6">
        <f t="shared" si="0"/>
        <v>19.599999999999998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40</v>
      </c>
      <c r="B19" s="2"/>
      <c r="C19" s="4">
        <v>43106</v>
      </c>
      <c r="D19" s="4"/>
      <c r="E19" s="4">
        <v>43146</v>
      </c>
      <c r="F19" s="5"/>
      <c r="G19" s="49"/>
      <c r="H19" s="5">
        <v>8.2899999999999991</v>
      </c>
      <c r="I19" s="102">
        <f>25/30*39</f>
        <v>32.5</v>
      </c>
      <c r="J19" s="5"/>
      <c r="K19" s="5"/>
      <c r="L19" s="6">
        <v>70</v>
      </c>
      <c r="M19" s="61">
        <v>26</v>
      </c>
      <c r="N19" s="6">
        <f t="shared" si="0"/>
        <v>30.799999999999997</v>
      </c>
    </row>
    <row r="20" spans="1:15">
      <c r="A20" s="2" t="s">
        <v>44</v>
      </c>
      <c r="B20" s="2"/>
      <c r="C20" s="4">
        <v>43196</v>
      </c>
      <c r="D20" s="4"/>
      <c r="E20" s="4">
        <v>43250</v>
      </c>
      <c r="F20" s="5"/>
      <c r="G20" s="49"/>
      <c r="H20" s="5">
        <v>13.78</v>
      </c>
      <c r="I20" s="102">
        <f>25*24/30+25</f>
        <v>45</v>
      </c>
      <c r="J20" s="5"/>
      <c r="K20" s="5"/>
      <c r="L20" s="6">
        <v>11</v>
      </c>
      <c r="M20" s="61">
        <v>25</v>
      </c>
      <c r="N20" s="6">
        <v>9.7999999999999989</v>
      </c>
    </row>
    <row r="21" spans="1:15">
      <c r="A21" s="22" t="s">
        <v>47</v>
      </c>
      <c r="B21" s="22"/>
      <c r="C21" s="4">
        <v>43355</v>
      </c>
      <c r="D21" s="4"/>
      <c r="E21" s="4">
        <v>43277</v>
      </c>
      <c r="F21" s="5"/>
      <c r="G21" s="49"/>
      <c r="H21" s="5">
        <v>19.98</v>
      </c>
      <c r="I21" s="102">
        <f>36*2+36/30*16</f>
        <v>91.2</v>
      </c>
      <c r="J21" s="5"/>
      <c r="K21" s="5"/>
      <c r="L21" s="6">
        <v>105</v>
      </c>
      <c r="M21" s="61">
        <v>36</v>
      </c>
      <c r="N21" s="6">
        <f t="shared" si="0"/>
        <v>48.3</v>
      </c>
    </row>
    <row r="22" spans="1:15">
      <c r="A22" s="22" t="s">
        <v>48</v>
      </c>
      <c r="B22" s="22"/>
      <c r="C22" s="4">
        <v>43367</v>
      </c>
      <c r="D22" s="4"/>
      <c r="E22" s="4">
        <v>43284</v>
      </c>
      <c r="F22" s="5"/>
      <c r="G22" s="49"/>
      <c r="H22" s="5">
        <v>9.1</v>
      </c>
      <c r="I22" s="102">
        <f>25+25/30*27</f>
        <v>47.5</v>
      </c>
      <c r="J22" s="5"/>
      <c r="K22" s="5"/>
      <c r="L22" s="6">
        <v>75</v>
      </c>
      <c r="M22" s="61">
        <v>25</v>
      </c>
      <c r="N22" s="6">
        <f t="shared" si="0"/>
        <v>35</v>
      </c>
    </row>
    <row r="23" spans="1:15">
      <c r="A23" s="2" t="s">
        <v>45</v>
      </c>
      <c r="B23" s="2"/>
      <c r="C23" s="4"/>
      <c r="D23" s="4"/>
      <c r="E23" s="4">
        <v>43286</v>
      </c>
      <c r="F23" s="5"/>
      <c r="G23" s="49"/>
      <c r="H23" s="5">
        <v>11.56</v>
      </c>
      <c r="I23" s="102"/>
      <c r="J23" s="5"/>
      <c r="K23" s="5"/>
      <c r="L23" s="6">
        <v>150</v>
      </c>
      <c r="M23" s="61">
        <v>76</v>
      </c>
      <c r="N23" s="6">
        <f t="shared" si="0"/>
        <v>51.8</v>
      </c>
      <c r="O23" s="20"/>
    </row>
    <row r="24" spans="1:15">
      <c r="A24" s="22" t="s">
        <v>49</v>
      </c>
      <c r="B24" s="22"/>
      <c r="C24" s="4">
        <v>43367</v>
      </c>
      <c r="D24" s="4"/>
      <c r="E24" s="4">
        <v>43291</v>
      </c>
      <c r="F24" s="5"/>
      <c r="G24" s="49"/>
      <c r="H24" s="5">
        <v>10.039999999999999</v>
      </c>
      <c r="I24" s="102">
        <f>50+25/30*14</f>
        <v>61.666666666666671</v>
      </c>
      <c r="J24" s="5"/>
      <c r="K24" s="5"/>
      <c r="L24" s="6">
        <v>50</v>
      </c>
      <c r="M24" s="61">
        <v>22</v>
      </c>
      <c r="N24" s="18">
        <f t="shared" si="0"/>
        <v>19.599999999999998</v>
      </c>
    </row>
    <row r="25" spans="1:15">
      <c r="A25" s="22" t="s">
        <v>51</v>
      </c>
      <c r="B25" s="22"/>
      <c r="C25" s="4">
        <v>43358</v>
      </c>
      <c r="D25" s="4"/>
      <c r="E25" s="4">
        <v>43291</v>
      </c>
      <c r="F25" s="5"/>
      <c r="G25" s="49"/>
      <c r="H25" s="5">
        <v>10.039999999999999</v>
      </c>
      <c r="I25" s="102">
        <f>50+25/30*5</f>
        <v>54.166666666666664</v>
      </c>
      <c r="J25" s="5"/>
      <c r="K25" s="5"/>
      <c r="L25" s="6">
        <v>75</v>
      </c>
      <c r="M25" s="61">
        <v>25</v>
      </c>
      <c r="N25" s="6">
        <f t="shared" si="0"/>
        <v>35</v>
      </c>
    </row>
    <row r="26" spans="1:15">
      <c r="A26" s="22" t="s">
        <v>52</v>
      </c>
      <c r="B26" s="22"/>
      <c r="C26" s="4">
        <v>43367</v>
      </c>
      <c r="D26" s="4"/>
      <c r="E26" s="4">
        <v>43308</v>
      </c>
      <c r="F26" s="5"/>
      <c r="G26" s="49"/>
      <c r="H26" s="5">
        <v>10.86</v>
      </c>
      <c r="I26" s="102">
        <f>25+25/30*27</f>
        <v>47.5</v>
      </c>
      <c r="J26" s="5"/>
      <c r="K26" s="5"/>
      <c r="L26" s="6">
        <v>75</v>
      </c>
      <c r="M26" s="61">
        <v>25</v>
      </c>
      <c r="N26" s="27">
        <f t="shared" si="0"/>
        <v>35</v>
      </c>
    </row>
    <row r="27" spans="1:15">
      <c r="A27" s="22" t="s">
        <v>50</v>
      </c>
      <c r="B27" s="22"/>
      <c r="C27" s="4">
        <v>43367</v>
      </c>
      <c r="D27" s="4"/>
      <c r="E27" s="4">
        <v>43312</v>
      </c>
      <c r="F27" s="5"/>
      <c r="G27" s="49"/>
      <c r="H27" s="5">
        <v>10.86</v>
      </c>
      <c r="I27" s="102">
        <f>25+25/30*24</f>
        <v>45</v>
      </c>
      <c r="J27" s="5"/>
      <c r="K27" s="5"/>
      <c r="L27" s="6">
        <v>70</v>
      </c>
      <c r="M27" s="61">
        <v>25</v>
      </c>
      <c r="N27" s="6">
        <f t="shared" si="0"/>
        <v>31.499999999999996</v>
      </c>
    </row>
    <row r="28" spans="1:15">
      <c r="A28" s="22" t="s">
        <v>55</v>
      </c>
      <c r="B28" s="22"/>
      <c r="C28" s="4">
        <v>43363</v>
      </c>
      <c r="D28" s="4"/>
      <c r="E28" s="4">
        <v>43440</v>
      </c>
      <c r="F28" s="5"/>
      <c r="G28" s="49"/>
      <c r="H28" s="5">
        <v>14.11</v>
      </c>
      <c r="I28" s="102">
        <f>25*2+25*16/30</f>
        <v>63.333333333333336</v>
      </c>
      <c r="J28" s="5"/>
      <c r="K28" s="5"/>
      <c r="L28" s="6">
        <v>75</v>
      </c>
      <c r="M28" s="61">
        <v>25</v>
      </c>
      <c r="N28" s="6">
        <f t="shared" si="0"/>
        <v>35</v>
      </c>
    </row>
    <row r="29" spans="1:15">
      <c r="A29" s="22" t="s">
        <v>54</v>
      </c>
      <c r="B29" s="22"/>
      <c r="C29" s="4">
        <v>43167</v>
      </c>
      <c r="D29" s="4"/>
      <c r="E29" s="4">
        <v>43455</v>
      </c>
      <c r="F29" s="5"/>
      <c r="G29" s="49"/>
      <c r="H29" s="5">
        <v>10.86</v>
      </c>
      <c r="I29" s="102">
        <f>9*25+25*13/30</f>
        <v>235.83333333333334</v>
      </c>
      <c r="J29" s="5"/>
      <c r="K29" s="5"/>
      <c r="L29" s="6">
        <v>90</v>
      </c>
      <c r="M29" s="61">
        <v>36</v>
      </c>
      <c r="N29" s="6">
        <f t="shared" si="0"/>
        <v>37.799999999999997</v>
      </c>
    </row>
    <row r="30" spans="1:15">
      <c r="A30" s="22" t="s">
        <v>57</v>
      </c>
      <c r="B30" s="55"/>
      <c r="C30" s="31">
        <v>43478</v>
      </c>
      <c r="D30" s="31"/>
      <c r="E30" s="4">
        <v>43536</v>
      </c>
      <c r="F30" s="5"/>
      <c r="G30" s="49"/>
      <c r="H30" s="5">
        <v>10.86</v>
      </c>
      <c r="I30" s="102">
        <v>25</v>
      </c>
      <c r="J30" s="5"/>
      <c r="K30" s="5"/>
      <c r="L30" s="6">
        <v>70</v>
      </c>
      <c r="M30" s="61">
        <v>25</v>
      </c>
      <c r="N30" s="6">
        <f t="shared" si="0"/>
        <v>31.499999999999996</v>
      </c>
    </row>
    <row r="31" spans="1:15">
      <c r="A31" s="22" t="s">
        <v>59</v>
      </c>
      <c r="B31" s="22"/>
      <c r="C31" s="4">
        <v>43528</v>
      </c>
      <c r="D31" s="4"/>
      <c r="E31" s="4">
        <v>43538</v>
      </c>
      <c r="F31" s="5"/>
      <c r="G31" s="49"/>
      <c r="H31" s="5">
        <v>14.92</v>
      </c>
      <c r="I31" s="102">
        <f>77/30*10</f>
        <v>25.666666666666668</v>
      </c>
      <c r="J31" s="5"/>
      <c r="K31" s="5"/>
      <c r="L31" s="6">
        <v>169</v>
      </c>
      <c r="M31" s="61">
        <f>64+11+2</f>
        <v>77</v>
      </c>
      <c r="N31" s="6">
        <f t="shared" si="0"/>
        <v>64.399999999999991</v>
      </c>
    </row>
    <row r="32" spans="1:15">
      <c r="A32" s="22" t="s">
        <v>58</v>
      </c>
      <c r="B32" s="22"/>
      <c r="C32" s="4">
        <v>43534</v>
      </c>
      <c r="D32" s="4"/>
      <c r="E32" s="4">
        <v>43542</v>
      </c>
      <c r="F32" s="5"/>
      <c r="G32" s="49"/>
      <c r="H32" s="5">
        <f>10.86*2</f>
        <v>21.72</v>
      </c>
      <c r="I32" s="102">
        <v>0</v>
      </c>
      <c r="J32" s="5"/>
      <c r="K32" s="5"/>
      <c r="L32" s="6">
        <v>60</v>
      </c>
      <c r="M32" s="61">
        <v>33</v>
      </c>
      <c r="N32" s="6">
        <v>18.899999999999999</v>
      </c>
    </row>
    <row r="33" spans="1:15">
      <c r="A33" s="22" t="s">
        <v>61</v>
      </c>
      <c r="B33" s="22"/>
      <c r="C33" s="4">
        <v>43482</v>
      </c>
      <c r="D33" s="4"/>
      <c r="E33" s="4">
        <v>43542</v>
      </c>
      <c r="F33" s="5"/>
      <c r="G33" s="49"/>
      <c r="H33" s="5">
        <v>11.1</v>
      </c>
      <c r="I33" s="102">
        <f>25*2</f>
        <v>50</v>
      </c>
      <c r="J33" s="5"/>
      <c r="K33" s="5"/>
      <c r="L33" s="6">
        <v>70</v>
      </c>
      <c r="M33" s="61">
        <v>26</v>
      </c>
      <c r="N33" s="6">
        <f t="shared" si="0"/>
        <v>30.799999999999997</v>
      </c>
    </row>
    <row r="34" spans="1:15">
      <c r="A34" s="22" t="s">
        <v>67</v>
      </c>
      <c r="B34" s="22"/>
      <c r="C34" s="4">
        <v>43600</v>
      </c>
      <c r="D34" s="4"/>
      <c r="E34" s="4">
        <v>43629</v>
      </c>
      <c r="F34" s="5"/>
      <c r="G34" s="49"/>
      <c r="H34" s="5">
        <f>10.86*2</f>
        <v>21.72</v>
      </c>
      <c r="I34" s="102">
        <f>22/30*58</f>
        <v>42.533333333333331</v>
      </c>
      <c r="J34" s="5">
        <v>50</v>
      </c>
      <c r="K34" s="5">
        <f>H34+I34+J34</f>
        <v>114.25333333333333</v>
      </c>
      <c r="L34" s="6">
        <v>60</v>
      </c>
      <c r="M34" s="61">
        <v>25</v>
      </c>
      <c r="N34" s="6">
        <v>0</v>
      </c>
    </row>
    <row r="35" spans="1:15">
      <c r="A35" s="22" t="s">
        <v>66</v>
      </c>
      <c r="B35" s="22"/>
      <c r="C35" s="4">
        <v>43600</v>
      </c>
      <c r="D35" s="4"/>
      <c r="E35" s="4">
        <v>43629</v>
      </c>
      <c r="F35" s="5"/>
      <c r="G35" s="49"/>
      <c r="H35" s="5">
        <f>10.86</f>
        <v>10.86</v>
      </c>
      <c r="I35" s="102">
        <f>39/30*58</f>
        <v>75.400000000000006</v>
      </c>
      <c r="J35" s="5"/>
      <c r="K35" s="5">
        <f>H35+I35</f>
        <v>86.26</v>
      </c>
      <c r="L35" s="6">
        <v>110</v>
      </c>
      <c r="M35" s="61">
        <f>25+11+3</f>
        <v>39</v>
      </c>
      <c r="N35" s="6">
        <v>0</v>
      </c>
      <c r="O35" t="s">
        <v>73</v>
      </c>
    </row>
    <row r="36" spans="1:15">
      <c r="A36" s="22" t="s">
        <v>64</v>
      </c>
      <c r="B36" s="22"/>
      <c r="C36" s="4">
        <v>43627</v>
      </c>
      <c r="D36" s="4"/>
      <c r="E36" s="4">
        <v>43629</v>
      </c>
      <c r="F36" s="5"/>
      <c r="G36" s="49"/>
      <c r="H36" s="5">
        <v>10.86</v>
      </c>
      <c r="I36" s="102">
        <f>25/30*2</f>
        <v>1.6666666666666667</v>
      </c>
      <c r="J36" s="5"/>
      <c r="K36" s="5">
        <f>H36+I36</f>
        <v>12.526666666666666</v>
      </c>
      <c r="L36" s="6">
        <v>200</v>
      </c>
      <c r="M36" s="61">
        <v>11</v>
      </c>
      <c r="N36" s="5">
        <f t="shared" ref="N36:N48" si="1">(L36-M36)*0.7</f>
        <v>132.29999999999998</v>
      </c>
    </row>
    <row r="37" spans="1:15">
      <c r="A37" s="22" t="s">
        <v>65</v>
      </c>
      <c r="B37" s="22"/>
      <c r="C37" s="4">
        <v>43622</v>
      </c>
      <c r="D37" s="4"/>
      <c r="E37" s="4">
        <v>43650</v>
      </c>
      <c r="F37" s="5"/>
      <c r="G37" s="49"/>
      <c r="H37" s="5">
        <v>10.86</v>
      </c>
      <c r="I37" s="102"/>
      <c r="J37" s="5"/>
      <c r="K37" s="5"/>
      <c r="L37" s="6">
        <v>120</v>
      </c>
      <c r="M37" s="61">
        <v>60</v>
      </c>
      <c r="N37" s="6">
        <f t="shared" si="1"/>
        <v>42</v>
      </c>
    </row>
    <row r="38" spans="1:15">
      <c r="A38" s="22" t="s">
        <v>71</v>
      </c>
      <c r="B38" s="22"/>
      <c r="C38" s="4">
        <v>43635</v>
      </c>
      <c r="D38" s="4"/>
      <c r="E38" s="4">
        <v>43662</v>
      </c>
      <c r="F38" s="5"/>
      <c r="G38" s="49"/>
      <c r="H38" s="5">
        <f>10.86*2</f>
        <v>21.72</v>
      </c>
      <c r="I38" s="102"/>
      <c r="J38" s="5"/>
      <c r="K38" s="5"/>
      <c r="L38" s="6">
        <v>70</v>
      </c>
      <c r="M38" s="61">
        <v>26</v>
      </c>
      <c r="N38" s="6">
        <f t="shared" si="1"/>
        <v>30.799999999999997</v>
      </c>
      <c r="O38" t="s">
        <v>72</v>
      </c>
    </row>
    <row r="39" spans="1:15">
      <c r="A39" s="2" t="s">
        <v>75</v>
      </c>
      <c r="B39" s="2"/>
      <c r="C39" s="4">
        <v>43656</v>
      </c>
      <c r="D39" s="4"/>
      <c r="E39" s="4">
        <v>43711</v>
      </c>
      <c r="F39" s="5"/>
      <c r="G39" s="49"/>
      <c r="H39" s="5">
        <v>10.86</v>
      </c>
      <c r="I39" s="102">
        <f>36/30*48</f>
        <v>57.599999999999994</v>
      </c>
      <c r="J39" s="5"/>
      <c r="K39" s="5"/>
      <c r="L39" s="6">
        <v>105</v>
      </c>
      <c r="M39" s="61">
        <v>36</v>
      </c>
      <c r="N39" s="6">
        <f t="shared" si="1"/>
        <v>48.3</v>
      </c>
    </row>
    <row r="40" spans="1:15">
      <c r="A40" s="2" t="s">
        <v>76</v>
      </c>
      <c r="B40" s="2"/>
      <c r="C40" s="4">
        <v>43677</v>
      </c>
      <c r="D40" s="4"/>
      <c r="E40" s="4">
        <v>43713</v>
      </c>
      <c r="F40" s="5"/>
      <c r="G40" s="49"/>
      <c r="H40" s="5">
        <v>24.06</v>
      </c>
      <c r="I40" s="102">
        <f>80/30*35</f>
        <v>93.333333333333329</v>
      </c>
      <c r="J40" s="5">
        <v>40</v>
      </c>
      <c r="K40" s="5"/>
      <c r="L40" s="6">
        <v>149</v>
      </c>
      <c r="M40" s="61">
        <v>80</v>
      </c>
      <c r="N40" s="6">
        <f t="shared" si="1"/>
        <v>48.3</v>
      </c>
      <c r="O40" t="s">
        <v>79</v>
      </c>
    </row>
    <row r="41" spans="1:15">
      <c r="A41" s="2" t="s">
        <v>81</v>
      </c>
      <c r="B41" s="2"/>
      <c r="C41" s="4">
        <v>43788</v>
      </c>
      <c r="D41" s="4"/>
      <c r="E41" s="4">
        <v>43865</v>
      </c>
      <c r="F41" s="5"/>
      <c r="G41" s="49"/>
      <c r="H41" s="5">
        <v>9.14</v>
      </c>
      <c r="I41" s="102">
        <f>25/30*45</f>
        <v>37.5</v>
      </c>
      <c r="J41" s="5"/>
      <c r="K41" s="5"/>
      <c r="L41" s="6">
        <v>90</v>
      </c>
      <c r="M41" s="61">
        <v>25</v>
      </c>
      <c r="N41" s="6">
        <f t="shared" si="1"/>
        <v>45.5</v>
      </c>
    </row>
    <row r="42" spans="1:15">
      <c r="A42" s="22" t="s">
        <v>87</v>
      </c>
      <c r="B42" s="22"/>
      <c r="C42" s="35">
        <v>43878</v>
      </c>
      <c r="D42" s="35"/>
      <c r="E42" s="35">
        <v>43892</v>
      </c>
      <c r="F42" s="5"/>
      <c r="G42" s="49"/>
      <c r="H42" s="5">
        <v>12.19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5">
      <c r="A43" s="22" t="s">
        <v>89</v>
      </c>
      <c r="B43" s="22"/>
      <c r="C43" s="35">
        <v>43908</v>
      </c>
      <c r="D43" s="35"/>
      <c r="E43" s="35">
        <v>43893</v>
      </c>
      <c r="F43" s="5"/>
      <c r="G43" s="49"/>
      <c r="H43" s="5">
        <v>9.6</v>
      </c>
      <c r="I43" s="102"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5">
      <c r="A44" s="22" t="s">
        <v>85</v>
      </c>
      <c r="B44" s="22"/>
      <c r="C44" s="35">
        <v>43881</v>
      </c>
      <c r="D44" s="35"/>
      <c r="E44" s="35">
        <v>43895</v>
      </c>
      <c r="F44" s="5"/>
      <c r="G44" s="49"/>
      <c r="H44" s="5">
        <v>9.14</v>
      </c>
      <c r="I44" s="102">
        <f>11/30*15</f>
        <v>5.5</v>
      </c>
      <c r="J44" s="5"/>
      <c r="K44" s="5"/>
      <c r="L44" s="6">
        <v>25</v>
      </c>
      <c r="M44" s="61">
        <v>11</v>
      </c>
      <c r="N44" s="6">
        <f t="shared" si="1"/>
        <v>9.7999999999999989</v>
      </c>
    </row>
    <row r="45" spans="1:15">
      <c r="A45" s="39" t="s">
        <v>82</v>
      </c>
      <c r="B45" s="28"/>
      <c r="C45" s="36">
        <v>40235</v>
      </c>
      <c r="D45" s="36"/>
      <c r="E45" s="36">
        <v>43901</v>
      </c>
      <c r="F45" s="5"/>
      <c r="G45" s="34"/>
      <c r="H45" s="37">
        <v>9.6</v>
      </c>
      <c r="I45" s="102">
        <f>11/2</f>
        <v>5.5</v>
      </c>
      <c r="J45" s="5"/>
      <c r="K45" s="5"/>
      <c r="L45" s="17">
        <v>25</v>
      </c>
      <c r="M45" s="63">
        <v>11</v>
      </c>
      <c r="N45" s="26">
        <f t="shared" si="1"/>
        <v>9.7999999999999989</v>
      </c>
    </row>
    <row r="46" spans="1:15">
      <c r="A46" s="22" t="s">
        <v>84</v>
      </c>
      <c r="B46" s="22"/>
      <c r="C46" s="35">
        <v>43889</v>
      </c>
      <c r="D46" s="35"/>
      <c r="E46" s="35">
        <v>43903</v>
      </c>
      <c r="F46" s="5"/>
      <c r="G46" s="49"/>
      <c r="H46" s="5">
        <v>9.14</v>
      </c>
      <c r="I46" s="102">
        <f>11/30*15</f>
        <v>5.5</v>
      </c>
      <c r="J46" s="5"/>
      <c r="K46" s="5"/>
      <c r="L46" s="6">
        <v>25</v>
      </c>
      <c r="M46" s="61">
        <v>11</v>
      </c>
      <c r="N46" s="6">
        <f t="shared" si="1"/>
        <v>9.7999999999999989</v>
      </c>
    </row>
    <row r="47" spans="1:15">
      <c r="A47" s="22" t="s">
        <v>80</v>
      </c>
      <c r="B47" s="22"/>
      <c r="C47" s="35">
        <v>43873</v>
      </c>
      <c r="D47" s="35"/>
      <c r="E47" s="35">
        <v>43910</v>
      </c>
      <c r="F47" s="5"/>
      <c r="G47" s="49"/>
      <c r="H47" s="5">
        <v>21.84</v>
      </c>
      <c r="I47" s="102">
        <f>56/30*38</f>
        <v>70.933333333333337</v>
      </c>
      <c r="J47" s="5"/>
      <c r="K47" s="5"/>
      <c r="L47" s="6">
        <v>120</v>
      </c>
      <c r="M47" s="61">
        <v>56</v>
      </c>
      <c r="N47" s="6">
        <f t="shared" si="1"/>
        <v>44.8</v>
      </c>
    </row>
    <row r="48" spans="1:15">
      <c r="A48" s="22" t="s">
        <v>88</v>
      </c>
      <c r="B48" s="22"/>
      <c r="C48" s="35">
        <v>43855</v>
      </c>
      <c r="D48" s="35"/>
      <c r="E48" s="35">
        <v>43941</v>
      </c>
      <c r="F48" s="5"/>
      <c r="G48" s="49"/>
      <c r="H48" s="5">
        <v>13.93</v>
      </c>
      <c r="I48" s="102">
        <f>56/30*85</f>
        <v>158.66666666666666</v>
      </c>
      <c r="J48" s="5"/>
      <c r="K48" s="5"/>
      <c r="L48" s="6">
        <v>110</v>
      </c>
      <c r="M48" s="61">
        <v>56</v>
      </c>
      <c r="N48" s="6">
        <f t="shared" si="1"/>
        <v>37.799999999999997</v>
      </c>
    </row>
    <row r="49" spans="1:16">
      <c r="A49" s="22" t="s">
        <v>90</v>
      </c>
      <c r="B49" s="22"/>
      <c r="C49" s="35" t="s">
        <v>96</v>
      </c>
      <c r="D49" s="35"/>
      <c r="E49" s="35">
        <v>44015</v>
      </c>
      <c r="F49" s="5" t="s">
        <v>160</v>
      </c>
      <c r="G49" s="49">
        <v>12.5</v>
      </c>
      <c r="H49" s="5">
        <v>11.29</v>
      </c>
      <c r="I49" s="102">
        <f>100</f>
        <v>100</v>
      </c>
      <c r="J49" s="5"/>
      <c r="K49" s="5"/>
      <c r="L49" s="6">
        <v>105</v>
      </c>
      <c r="M49" s="61">
        <f>25+11+22</f>
        <v>58</v>
      </c>
      <c r="N49" s="6">
        <f>12.5+(92.5-M49)*0.7</f>
        <v>36.65</v>
      </c>
      <c r="P49" s="41"/>
    </row>
    <row r="50" spans="1:16">
      <c r="A50" s="22" t="s">
        <v>97</v>
      </c>
      <c r="B50" s="22"/>
      <c r="C50" s="35">
        <v>43990</v>
      </c>
      <c r="D50" s="35"/>
      <c r="E50" s="35">
        <v>44036</v>
      </c>
      <c r="F50" s="5"/>
      <c r="G50" s="49"/>
      <c r="H50" s="5">
        <v>8.75</v>
      </c>
      <c r="I50" s="102">
        <f>56/30*46</f>
        <v>85.866666666666674</v>
      </c>
      <c r="J50" s="5"/>
      <c r="K50" s="5"/>
      <c r="L50" s="6">
        <v>110</v>
      </c>
      <c r="M50" s="61">
        <f>45+11</f>
        <v>56</v>
      </c>
      <c r="N50" s="6">
        <f>(L50-M50)*0.7</f>
        <v>37.799999999999997</v>
      </c>
    </row>
    <row r="51" spans="1:16">
      <c r="A51" s="22" t="s">
        <v>95</v>
      </c>
      <c r="B51" s="22"/>
      <c r="C51" s="35">
        <v>44028</v>
      </c>
      <c r="D51" s="35"/>
      <c r="E51" s="35">
        <v>44040</v>
      </c>
      <c r="F51" s="5"/>
      <c r="G51" s="49"/>
      <c r="H51" s="5">
        <v>8.75</v>
      </c>
      <c r="I51" s="102">
        <f>41/30*12</f>
        <v>16.399999999999999</v>
      </c>
      <c r="J51" s="5"/>
      <c r="K51" s="5"/>
      <c r="L51" s="6">
        <v>60</v>
      </c>
      <c r="M51" s="61">
        <v>41</v>
      </c>
      <c r="N51" s="6">
        <f>(L51-M51)*0.7</f>
        <v>13.299999999999999</v>
      </c>
    </row>
    <row r="52" spans="1:16">
      <c r="A52" s="22" t="s">
        <v>94</v>
      </c>
      <c r="B52" s="22"/>
      <c r="C52" s="35">
        <v>44011</v>
      </c>
      <c r="D52" s="35"/>
      <c r="E52" s="35">
        <v>44084</v>
      </c>
      <c r="F52" s="5"/>
      <c r="G52" s="49"/>
      <c r="H52" s="5">
        <v>11.29</v>
      </c>
      <c r="I52" s="102">
        <f>25/30*71</f>
        <v>59.166666666666671</v>
      </c>
      <c r="J52" s="5"/>
      <c r="K52" s="5"/>
      <c r="L52" s="6">
        <v>40</v>
      </c>
      <c r="M52" s="61">
        <v>25</v>
      </c>
      <c r="N52" s="6">
        <f>(L52-M52)*0.7</f>
        <v>10.5</v>
      </c>
    </row>
    <row r="53" spans="1:16">
      <c r="A53" s="2" t="s">
        <v>99</v>
      </c>
      <c r="B53" s="2"/>
      <c r="C53" s="35">
        <v>44084</v>
      </c>
      <c r="D53" s="35"/>
      <c r="E53" s="35">
        <v>44105</v>
      </c>
      <c r="F53" s="5" t="s">
        <v>160</v>
      </c>
      <c r="G53" s="49">
        <v>5</v>
      </c>
      <c r="H53" s="5">
        <v>12.24</v>
      </c>
      <c r="I53" s="102">
        <f>25/30*20</f>
        <v>16.666666666666668</v>
      </c>
      <c r="J53" s="5"/>
      <c r="K53" s="5"/>
      <c r="L53" s="43">
        <v>40</v>
      </c>
      <c r="M53" s="61">
        <v>22</v>
      </c>
      <c r="N53" s="6">
        <f>5+13*0.7</f>
        <v>14.1</v>
      </c>
      <c r="P53" s="41"/>
    </row>
    <row r="54" spans="1:16">
      <c r="A54" s="2" t="s">
        <v>102</v>
      </c>
      <c r="B54" s="2"/>
      <c r="C54" s="4" t="s">
        <v>103</v>
      </c>
      <c r="D54" s="4"/>
      <c r="E54" s="4">
        <v>44110</v>
      </c>
      <c r="F54" s="5" t="s">
        <v>160</v>
      </c>
      <c r="G54" s="49">
        <v>10</v>
      </c>
      <c r="H54" s="5">
        <v>36.65</v>
      </c>
      <c r="I54" s="102">
        <f>115/30*26</f>
        <v>99.666666666666671</v>
      </c>
      <c r="J54" s="5"/>
      <c r="K54" s="5"/>
      <c r="L54" s="6">
        <v>180</v>
      </c>
      <c r="M54" s="61">
        <v>115</v>
      </c>
      <c r="N54" s="6">
        <f>10+55*0.7</f>
        <v>48.5</v>
      </c>
      <c r="P54" s="41"/>
    </row>
    <row r="55" spans="1:16">
      <c r="A55" s="2" t="s">
        <v>94</v>
      </c>
      <c r="B55" s="2"/>
      <c r="C55" s="35">
        <v>44124</v>
      </c>
      <c r="D55" s="35"/>
      <c r="E55" s="35">
        <v>44124</v>
      </c>
      <c r="F55" s="5"/>
      <c r="G55" s="49"/>
      <c r="H55" s="5">
        <v>7.25</v>
      </c>
      <c r="I55" s="102">
        <v>0</v>
      </c>
      <c r="J55" s="5"/>
      <c r="K55" s="5"/>
      <c r="L55" s="6">
        <v>25</v>
      </c>
      <c r="M55" s="61">
        <v>11</v>
      </c>
      <c r="N55" s="6">
        <f>(L55-M55)*0.7</f>
        <v>9.7999999999999989</v>
      </c>
    </row>
    <row r="56" spans="1:16">
      <c r="A56" s="2" t="s">
        <v>100</v>
      </c>
      <c r="B56" s="2"/>
      <c r="C56" s="4">
        <v>44018</v>
      </c>
      <c r="D56" s="4"/>
      <c r="E56" s="4">
        <v>44124</v>
      </c>
      <c r="F56" s="40"/>
      <c r="G56" s="2"/>
      <c r="H56" s="5">
        <v>9.5</v>
      </c>
      <c r="I56" s="102">
        <f>25/30*104</f>
        <v>86.666666666666671</v>
      </c>
      <c r="J56" s="5"/>
      <c r="K56" s="5"/>
      <c r="L56" s="6">
        <v>70</v>
      </c>
      <c r="M56" s="61">
        <v>25</v>
      </c>
      <c r="N56" s="6">
        <f>(L56-M56)*0.7</f>
        <v>31.499999999999996</v>
      </c>
    </row>
    <row r="57" spans="1:16">
      <c r="A57" s="2" t="s">
        <v>101</v>
      </c>
      <c r="B57" s="2"/>
      <c r="C57" s="4">
        <v>44070</v>
      </c>
      <c r="D57" s="4"/>
      <c r="E57" s="4">
        <v>44131</v>
      </c>
      <c r="F57" s="40"/>
      <c r="G57" s="2"/>
      <c r="H57" s="5">
        <v>13.93</v>
      </c>
      <c r="I57" s="102">
        <f>71/30*60</f>
        <v>142</v>
      </c>
      <c r="J57" s="5"/>
      <c r="K57" s="5"/>
      <c r="L57" s="6">
        <v>120</v>
      </c>
      <c r="M57" s="61">
        <f>60+11</f>
        <v>71</v>
      </c>
      <c r="N57" s="6">
        <f>(L57-M57)*0.7</f>
        <v>34.299999999999997</v>
      </c>
    </row>
    <row r="58" spans="1:16">
      <c r="A58" s="22" t="s">
        <v>104</v>
      </c>
      <c r="B58" s="22"/>
      <c r="C58" s="4">
        <v>44159</v>
      </c>
      <c r="D58" s="4"/>
      <c r="E58" s="4">
        <v>44187</v>
      </c>
      <c r="F58" s="40"/>
      <c r="G58" s="2"/>
      <c r="H58" s="5">
        <v>13.93</v>
      </c>
      <c r="I58" s="102">
        <f>36/30*28</f>
        <v>33.6</v>
      </c>
      <c r="J58" s="5"/>
      <c r="K58" s="5"/>
      <c r="L58" s="6">
        <v>110</v>
      </c>
      <c r="M58" s="61">
        <f>25+11</f>
        <v>36</v>
      </c>
      <c r="N58" s="6">
        <f>(L58-M58)*0.7</f>
        <v>51.8</v>
      </c>
    </row>
    <row r="59" spans="1:16">
      <c r="A59" s="22" t="s">
        <v>120</v>
      </c>
      <c r="B59" s="22"/>
      <c r="C59" s="4">
        <v>44169</v>
      </c>
      <c r="D59" s="4"/>
      <c r="E59" s="4">
        <v>44208</v>
      </c>
      <c r="F59" s="5" t="s">
        <v>160</v>
      </c>
      <c r="G59" s="49">
        <v>10</v>
      </c>
      <c r="H59" s="5"/>
      <c r="I59" s="102">
        <f>41/30*38</f>
        <v>51.933333333333337</v>
      </c>
      <c r="J59" s="5"/>
      <c r="K59" s="5"/>
      <c r="L59" s="6">
        <v>70</v>
      </c>
      <c r="M59" s="61">
        <v>45</v>
      </c>
      <c r="N59" s="5">
        <f>10+(60-45)*0.7</f>
        <v>20.5</v>
      </c>
      <c r="O59" s="1" t="s">
        <v>145</v>
      </c>
    </row>
    <row r="60" spans="1:16">
      <c r="A60" s="22" t="s">
        <v>108</v>
      </c>
      <c r="B60" s="22"/>
      <c r="C60" s="4">
        <v>44185</v>
      </c>
      <c r="D60" s="4"/>
      <c r="E60" s="4">
        <v>44242</v>
      </c>
      <c r="F60" s="5" t="s">
        <v>160</v>
      </c>
      <c r="G60" s="49">
        <v>20</v>
      </c>
      <c r="H60" s="5">
        <v>26.48</v>
      </c>
      <c r="I60" s="102">
        <f>50/30*55</f>
        <v>91.666666666666671</v>
      </c>
      <c r="J60" s="5">
        <v>160</v>
      </c>
      <c r="K60" s="5"/>
      <c r="L60" s="6">
        <v>130</v>
      </c>
      <c r="M60" s="61">
        <v>34</v>
      </c>
      <c r="N60" s="5">
        <f>(20+(110-34)*0.7)</f>
        <v>73.199999999999989</v>
      </c>
      <c r="O60" s="1" t="s">
        <v>145</v>
      </c>
    </row>
    <row r="61" spans="1:16">
      <c r="A61" s="22" t="s">
        <v>109</v>
      </c>
      <c r="B61" s="22"/>
      <c r="C61" s="4">
        <v>44209</v>
      </c>
      <c r="D61" s="4"/>
      <c r="E61" s="4">
        <v>44250</v>
      </c>
      <c r="F61" s="5" t="s">
        <v>160</v>
      </c>
      <c r="G61" s="49">
        <v>22.5</v>
      </c>
      <c r="H61" s="5">
        <v>22.83</v>
      </c>
      <c r="I61" s="102">
        <f>100/30*40</f>
        <v>133.33333333333334</v>
      </c>
      <c r="J61" s="5">
        <v>125</v>
      </c>
      <c r="K61" s="5"/>
      <c r="L61" s="6">
        <v>210</v>
      </c>
      <c r="M61" s="61">
        <v>100</v>
      </c>
      <c r="N61" s="6">
        <f>(22.5+87.5*0.7)</f>
        <v>83.75</v>
      </c>
    </row>
    <row r="62" spans="1:16">
      <c r="A62" s="2" t="s">
        <v>113</v>
      </c>
      <c r="B62" s="2"/>
      <c r="C62" s="4">
        <v>44245</v>
      </c>
      <c r="D62" s="4"/>
      <c r="E62" s="4">
        <v>44271</v>
      </c>
      <c r="F62" s="5" t="s">
        <v>160</v>
      </c>
      <c r="G62" s="49">
        <v>15</v>
      </c>
      <c r="H62" s="5">
        <v>26.76</v>
      </c>
      <c r="I62" s="102">
        <f>67/30*28</f>
        <v>62.533333333333331</v>
      </c>
      <c r="J62" s="5"/>
      <c r="K62" s="5"/>
      <c r="L62" s="6">
        <v>140</v>
      </c>
      <c r="M62" s="61">
        <v>67</v>
      </c>
      <c r="N62" s="6">
        <f>(15+0.7*58)</f>
        <v>55.599999999999994</v>
      </c>
    </row>
    <row r="63" spans="1:16">
      <c r="A63" s="2" t="s">
        <v>114</v>
      </c>
      <c r="B63" s="2"/>
      <c r="C63" s="4">
        <v>44222</v>
      </c>
      <c r="D63" s="4"/>
      <c r="E63" s="4">
        <v>44279</v>
      </c>
      <c r="F63" s="5" t="s">
        <v>160</v>
      </c>
      <c r="G63" s="49">
        <v>12.5</v>
      </c>
      <c r="H63" s="5">
        <v>13.4</v>
      </c>
      <c r="I63" s="102">
        <f>56/30*58</f>
        <v>108.26666666666667</v>
      </c>
      <c r="J63" s="5">
        <v>100</v>
      </c>
      <c r="K63" s="5"/>
      <c r="L63" s="6">
        <v>140</v>
      </c>
      <c r="M63" s="61">
        <v>56</v>
      </c>
      <c r="N63" s="5">
        <f>(12.5+71.5*0.7)</f>
        <v>62.55</v>
      </c>
      <c r="O63" s="1" t="s">
        <v>145</v>
      </c>
    </row>
    <row r="64" spans="1:16">
      <c r="A64" s="2" t="s">
        <v>112</v>
      </c>
      <c r="B64" s="2"/>
      <c r="C64" s="4">
        <v>44270</v>
      </c>
      <c r="D64" s="4"/>
      <c r="E64" s="4">
        <v>44286</v>
      </c>
      <c r="F64" s="5" t="s">
        <v>160</v>
      </c>
      <c r="G64" s="49">
        <v>17.5</v>
      </c>
      <c r="H64" s="5">
        <v>31.96</v>
      </c>
      <c r="I64" s="102">
        <f>55/30*16</f>
        <v>29.333333333333332</v>
      </c>
      <c r="J64" s="5">
        <v>75</v>
      </c>
      <c r="K64" s="5"/>
      <c r="L64" s="6">
        <v>100</v>
      </c>
      <c r="M64" s="61">
        <v>55</v>
      </c>
      <c r="N64" s="6">
        <f>(17.5+27.5*0.7)</f>
        <v>36.75</v>
      </c>
    </row>
    <row r="65" spans="1:16">
      <c r="A65" s="22" t="s">
        <v>121</v>
      </c>
      <c r="B65" s="22"/>
      <c r="C65" s="4">
        <v>44316</v>
      </c>
      <c r="D65" s="4"/>
      <c r="E65" s="4">
        <v>44354</v>
      </c>
      <c r="F65" s="40"/>
      <c r="G65" s="2"/>
      <c r="H65" s="5">
        <v>15.15</v>
      </c>
      <c r="I65" s="102">
        <f>36/30*37</f>
        <v>44.4</v>
      </c>
      <c r="J65" s="5"/>
      <c r="K65" s="5"/>
      <c r="L65" s="6">
        <v>110</v>
      </c>
      <c r="M65" s="61">
        <v>36</v>
      </c>
      <c r="N65" s="5">
        <f>(L65-M65)*0.7</f>
        <v>51.8</v>
      </c>
      <c r="O65" s="1" t="s">
        <v>145</v>
      </c>
    </row>
    <row r="66" spans="1:16">
      <c r="A66" s="22" t="s">
        <v>126</v>
      </c>
      <c r="B66" s="22"/>
      <c r="C66" s="4">
        <v>44336</v>
      </c>
      <c r="D66" s="4"/>
      <c r="E66" s="4">
        <v>44370</v>
      </c>
      <c r="F66" s="5" t="s">
        <v>161</v>
      </c>
      <c r="G66" s="49">
        <v>17.5</v>
      </c>
      <c r="H66" s="5">
        <v>35.78</v>
      </c>
      <c r="I66" s="102">
        <f>58/30*33</f>
        <v>63.8</v>
      </c>
      <c r="J66" s="5">
        <v>50</v>
      </c>
      <c r="K66" s="5"/>
      <c r="L66" s="6">
        <v>150</v>
      </c>
      <c r="M66" s="61">
        <v>58</v>
      </c>
      <c r="N66" s="6">
        <f>(17.5+74.5*0.7)</f>
        <v>69.650000000000006</v>
      </c>
    </row>
    <row r="67" spans="1:16">
      <c r="A67" s="44" t="s">
        <v>125</v>
      </c>
      <c r="B67" s="44"/>
      <c r="C67" s="4">
        <v>44342</v>
      </c>
      <c r="D67" s="4"/>
      <c r="E67" s="4">
        <v>44386</v>
      </c>
      <c r="F67" s="5" t="s">
        <v>160</v>
      </c>
      <c r="G67" s="49">
        <v>12.5</v>
      </c>
      <c r="H67" s="5">
        <v>15.46</v>
      </c>
      <c r="I67" s="102">
        <f>36/30*43</f>
        <v>51.6</v>
      </c>
      <c r="J67" s="5">
        <f>50+45</f>
        <v>95</v>
      </c>
      <c r="K67" s="5"/>
      <c r="L67" s="6">
        <v>80</v>
      </c>
      <c r="M67" s="61">
        <v>33</v>
      </c>
      <c r="N67" s="6">
        <f>12.5+(L67-M67-12.5)*0.7</f>
        <v>36.65</v>
      </c>
    </row>
    <row r="68" spans="1:16">
      <c r="A68" s="44" t="s">
        <v>129</v>
      </c>
      <c r="B68" s="44"/>
      <c r="C68" s="4">
        <v>44348</v>
      </c>
      <c r="D68" s="4"/>
      <c r="E68" s="4">
        <v>44389</v>
      </c>
      <c r="F68" s="5" t="s">
        <v>160</v>
      </c>
      <c r="G68" s="49">
        <v>12.5</v>
      </c>
      <c r="H68" s="5">
        <v>26.22</v>
      </c>
      <c r="I68" s="102">
        <f>71/30*42</f>
        <v>99.4</v>
      </c>
      <c r="J68" s="5">
        <f>50+45</f>
        <v>95</v>
      </c>
      <c r="K68" s="5"/>
      <c r="L68" s="6">
        <v>140</v>
      </c>
      <c r="M68" s="61">
        <v>71</v>
      </c>
      <c r="N68" s="6">
        <f>(12.5+(127.5-71)*0.7)</f>
        <v>52.05</v>
      </c>
    </row>
    <row r="69" spans="1:16">
      <c r="A69" s="44" t="s">
        <v>124</v>
      </c>
      <c r="B69" s="44"/>
      <c r="C69" s="4">
        <v>44348</v>
      </c>
      <c r="D69" s="4"/>
      <c r="E69" s="4">
        <v>44389</v>
      </c>
      <c r="F69" s="40"/>
      <c r="G69" s="2"/>
      <c r="H69" s="5">
        <v>11.62</v>
      </c>
      <c r="I69" s="102">
        <f>26/30*42</f>
        <v>36.4</v>
      </c>
      <c r="J69" s="5">
        <v>65</v>
      </c>
      <c r="K69" s="5"/>
      <c r="L69" s="6">
        <v>70</v>
      </c>
      <c r="M69" s="61">
        <v>26</v>
      </c>
      <c r="N69" s="6">
        <f>(70-26)*0.7</f>
        <v>30.799999999999997</v>
      </c>
    </row>
    <row r="70" spans="1:16">
      <c r="A70" s="44" t="s">
        <v>132</v>
      </c>
      <c r="B70" s="44"/>
      <c r="C70" s="4">
        <v>44407</v>
      </c>
      <c r="D70" s="4"/>
      <c r="E70" s="4">
        <v>44461</v>
      </c>
      <c r="F70" s="40"/>
      <c r="G70" s="2"/>
      <c r="H70" s="5">
        <v>9.8800000000000008</v>
      </c>
      <c r="I70" s="102">
        <f>25/30*52</f>
        <v>43.333333333333336</v>
      </c>
      <c r="J70" s="5"/>
      <c r="K70" s="5"/>
      <c r="L70" s="6">
        <v>40</v>
      </c>
      <c r="M70" s="61">
        <v>25</v>
      </c>
      <c r="N70" s="6">
        <f>(L70-M70)*0.7</f>
        <v>10.5</v>
      </c>
    </row>
    <row r="71" spans="1:16">
      <c r="A71" s="44" t="s">
        <v>133</v>
      </c>
      <c r="B71" s="44"/>
      <c r="C71" s="4">
        <v>44432</v>
      </c>
      <c r="D71" s="4"/>
      <c r="E71" s="4">
        <v>44467</v>
      </c>
      <c r="F71" s="40"/>
      <c r="G71" s="2"/>
      <c r="H71" s="5">
        <v>9.8800000000000008</v>
      </c>
      <c r="I71" s="102">
        <f>25/30*34</f>
        <v>28.333333333333336</v>
      </c>
      <c r="J71" s="5"/>
      <c r="K71" s="5"/>
      <c r="L71" s="6">
        <v>40</v>
      </c>
      <c r="M71" s="61">
        <v>25</v>
      </c>
      <c r="N71" s="6">
        <f>(L71-M71)*0.7</f>
        <v>10.5</v>
      </c>
    </row>
    <row r="72" spans="1:16">
      <c r="A72" s="52" t="s">
        <v>141</v>
      </c>
      <c r="B72" s="52"/>
      <c r="C72" s="57">
        <v>44459</v>
      </c>
      <c r="D72" s="57"/>
      <c r="E72" s="57">
        <v>44481</v>
      </c>
      <c r="F72" s="10" t="s">
        <v>161</v>
      </c>
      <c r="G72" s="12">
        <v>10</v>
      </c>
      <c r="H72" s="25">
        <v>15.15</v>
      </c>
      <c r="I72" s="103">
        <f>46/30*22</f>
        <v>33.733333333333334</v>
      </c>
      <c r="J72" s="25">
        <v>80</v>
      </c>
      <c r="K72" s="25"/>
      <c r="L72" s="27">
        <v>120</v>
      </c>
      <c r="M72" s="64">
        <v>46</v>
      </c>
      <c r="N72" s="27">
        <f>10+(120-56)*0.7</f>
        <v>54.8</v>
      </c>
    </row>
    <row r="73" spans="1:16">
      <c r="A73" s="52" t="s">
        <v>140</v>
      </c>
      <c r="B73" s="52"/>
      <c r="C73" s="57">
        <v>44449</v>
      </c>
      <c r="D73" s="57"/>
      <c r="E73" s="57">
        <v>44482</v>
      </c>
      <c r="F73" s="25" t="s">
        <v>160</v>
      </c>
      <c r="G73" s="58">
        <v>10</v>
      </c>
      <c r="H73" s="25">
        <v>13.4</v>
      </c>
      <c r="I73" s="103">
        <f>60/30*33</f>
        <v>66</v>
      </c>
      <c r="J73" s="25">
        <v>80</v>
      </c>
      <c r="K73" s="25"/>
      <c r="L73" s="27">
        <v>120</v>
      </c>
      <c r="M73" s="64">
        <v>61</v>
      </c>
      <c r="N73" s="27">
        <f>(10+49*0.7)</f>
        <v>44.3</v>
      </c>
    </row>
    <row r="74" spans="1:16">
      <c r="A74" s="44" t="s">
        <v>137</v>
      </c>
      <c r="B74" s="44"/>
      <c r="C74" s="35">
        <v>44474</v>
      </c>
      <c r="D74" s="35"/>
      <c r="E74" s="35">
        <v>44487</v>
      </c>
      <c r="F74" s="10" t="s">
        <v>161</v>
      </c>
      <c r="G74" s="12">
        <v>12.5</v>
      </c>
      <c r="H74" s="5">
        <v>15.15</v>
      </c>
      <c r="I74" s="102">
        <f>71/30*13</f>
        <v>30.766666666666666</v>
      </c>
      <c r="J74" s="5">
        <v>95</v>
      </c>
      <c r="K74" s="5"/>
      <c r="L74" s="6">
        <v>140</v>
      </c>
      <c r="M74" s="61">
        <v>71</v>
      </c>
      <c r="N74" s="6">
        <f>12.5+(56.5)*0.7</f>
        <v>52.05</v>
      </c>
    </row>
    <row r="75" spans="1:16">
      <c r="A75" s="44" t="s">
        <v>143</v>
      </c>
      <c r="B75" s="44"/>
      <c r="C75" s="35">
        <v>43717</v>
      </c>
      <c r="D75" s="35"/>
      <c r="E75" s="35">
        <v>44505</v>
      </c>
      <c r="F75" s="40"/>
      <c r="G75" s="49"/>
      <c r="H75" s="5">
        <v>13.4</v>
      </c>
      <c r="I75" s="102">
        <f>36*25+36/30*26</f>
        <v>931.2</v>
      </c>
      <c r="J75" s="5"/>
      <c r="K75" s="5"/>
      <c r="L75" s="6">
        <v>100</v>
      </c>
      <c r="M75" s="61">
        <v>36</v>
      </c>
      <c r="N75" s="6">
        <f>(100-36)*0.7</f>
        <v>44.8</v>
      </c>
    </row>
    <row r="76" spans="1:16">
      <c r="A76" s="44" t="s">
        <v>139</v>
      </c>
      <c r="B76" s="44"/>
      <c r="C76" s="35">
        <v>44492</v>
      </c>
      <c r="D76" s="35"/>
      <c r="E76" s="35">
        <v>44539</v>
      </c>
      <c r="F76" s="40"/>
      <c r="G76" s="49"/>
      <c r="H76" s="5">
        <v>16.350000000000001</v>
      </c>
      <c r="I76" s="102">
        <f>71/30*46</f>
        <v>108.86666666666667</v>
      </c>
      <c r="J76" s="5">
        <v>95</v>
      </c>
      <c r="K76" s="5"/>
      <c r="L76" s="6">
        <v>140</v>
      </c>
      <c r="M76" s="61">
        <v>71</v>
      </c>
      <c r="N76" s="12">
        <f>(140-71)*0.7</f>
        <v>48.3</v>
      </c>
      <c r="O76" s="72" t="s">
        <v>329</v>
      </c>
      <c r="P76" s="72">
        <v>33.81</v>
      </c>
    </row>
    <row r="77" spans="1:16">
      <c r="A77" s="44" t="s">
        <v>144</v>
      </c>
      <c r="B77" s="44"/>
      <c r="C77" s="35">
        <v>44526</v>
      </c>
      <c r="D77" s="35"/>
      <c r="E77" s="35">
        <v>44550</v>
      </c>
      <c r="F77" s="5" t="s">
        <v>160</v>
      </c>
      <c r="G77" s="49">
        <v>12.5</v>
      </c>
      <c r="H77" s="5">
        <v>13.4</v>
      </c>
      <c r="I77" s="102">
        <f>83/30*24</f>
        <v>66.400000000000006</v>
      </c>
      <c r="J77" s="5"/>
      <c r="K77" s="5"/>
      <c r="L77" s="6">
        <v>140</v>
      </c>
      <c r="M77" s="61">
        <v>94</v>
      </c>
      <c r="N77" s="6">
        <f>12.5+(140-12.5-94)*0.7</f>
        <v>35.950000000000003</v>
      </c>
    </row>
    <row r="78" spans="1:16">
      <c r="A78" s="44" t="s">
        <v>149</v>
      </c>
      <c r="B78" s="44"/>
      <c r="C78" s="35">
        <v>44880</v>
      </c>
      <c r="D78" s="35"/>
      <c r="E78" s="35">
        <v>44575</v>
      </c>
      <c r="F78" s="40"/>
      <c r="G78" s="49"/>
      <c r="H78" s="5">
        <v>13.4</v>
      </c>
      <c r="I78" s="102"/>
      <c r="J78" s="5">
        <v>50</v>
      </c>
      <c r="K78" s="5"/>
      <c r="L78" s="6">
        <v>160</v>
      </c>
      <c r="M78" s="61">
        <f>71+9</f>
        <v>80</v>
      </c>
      <c r="N78" s="6">
        <f>(160-80)*0.7</f>
        <v>56</v>
      </c>
    </row>
    <row r="79" spans="1:16">
      <c r="A79" s="44" t="s">
        <v>146</v>
      </c>
      <c r="B79" s="44"/>
      <c r="C79" s="4">
        <v>44586</v>
      </c>
      <c r="D79" s="4"/>
      <c r="E79" s="4">
        <v>44615</v>
      </c>
      <c r="F79" s="10" t="s">
        <v>161</v>
      </c>
      <c r="G79" s="12">
        <v>12.5</v>
      </c>
      <c r="H79" s="5">
        <v>15.46</v>
      </c>
      <c r="I79" s="102">
        <f>27/30*28</f>
        <v>25.2</v>
      </c>
      <c r="J79" s="5">
        <v>110</v>
      </c>
      <c r="K79" s="5"/>
      <c r="L79" s="6">
        <v>154</v>
      </c>
      <c r="M79" s="61">
        <v>62</v>
      </c>
      <c r="N79" s="6">
        <f>12.5+(154-12.5-62)*0.7</f>
        <v>68.150000000000006</v>
      </c>
    </row>
    <row r="80" spans="1:16">
      <c r="A80" s="44" t="s">
        <v>148</v>
      </c>
      <c r="B80" s="44"/>
      <c r="C80" s="4">
        <v>44579</v>
      </c>
      <c r="D80" s="4"/>
      <c r="E80" s="4">
        <v>44594</v>
      </c>
      <c r="F80" s="40"/>
      <c r="G80" s="49"/>
      <c r="H80" s="5">
        <v>13.4</v>
      </c>
      <c r="I80" s="102">
        <f>22/30*14</f>
        <v>10.266666666666666</v>
      </c>
      <c r="J80" s="5">
        <v>30</v>
      </c>
      <c r="K80" s="5"/>
      <c r="L80" s="6">
        <v>50</v>
      </c>
      <c r="M80" s="61">
        <v>22</v>
      </c>
      <c r="N80" s="6">
        <f>(50-22)*0.7</f>
        <v>19.599999999999998</v>
      </c>
    </row>
    <row r="81" spans="1:14">
      <c r="A81" s="44" t="s">
        <v>150</v>
      </c>
      <c r="B81" s="44"/>
      <c r="C81" s="4">
        <v>44899</v>
      </c>
      <c r="D81" s="4"/>
      <c r="E81" s="4">
        <v>44607</v>
      </c>
      <c r="F81" s="12" t="s">
        <v>160</v>
      </c>
      <c r="G81" s="12">
        <v>12.5</v>
      </c>
      <c r="H81" s="5">
        <v>13.4</v>
      </c>
      <c r="I81" s="102">
        <f>71/30*61</f>
        <v>144.36666666666667</v>
      </c>
      <c r="J81" s="5">
        <v>80</v>
      </c>
      <c r="K81" s="5"/>
      <c r="L81" s="6">
        <v>120</v>
      </c>
      <c r="M81" s="61">
        <v>60</v>
      </c>
      <c r="N81" s="6">
        <f>12.5+(120-72.5)*0.7</f>
        <v>45.75</v>
      </c>
    </row>
    <row r="82" spans="1:14">
      <c r="A82" s="44" t="s">
        <v>151</v>
      </c>
      <c r="B82" s="44"/>
      <c r="C82" s="4">
        <v>44926</v>
      </c>
      <c r="D82" s="4"/>
      <c r="E82" s="4">
        <v>44649</v>
      </c>
      <c r="F82" s="40"/>
      <c r="G82" s="40"/>
      <c r="H82" s="5">
        <v>9.0299999999999994</v>
      </c>
      <c r="I82" s="102">
        <f>25*2+25/30*29</f>
        <v>74.166666666666671</v>
      </c>
      <c r="J82" s="5">
        <v>80</v>
      </c>
      <c r="K82" s="5"/>
      <c r="L82" s="6">
        <v>67.5</v>
      </c>
      <c r="M82" s="61">
        <v>25</v>
      </c>
      <c r="N82" s="6">
        <f>(67.5-25)*0.7</f>
        <v>29.749999999999996</v>
      </c>
    </row>
    <row r="83" spans="1:14">
      <c r="A83" s="44" t="s">
        <v>152</v>
      </c>
      <c r="B83" s="44"/>
      <c r="C83" s="4">
        <v>44852</v>
      </c>
      <c r="D83" s="4"/>
      <c r="E83" s="4">
        <v>44649</v>
      </c>
      <c r="F83" s="40"/>
      <c r="G83" s="40"/>
      <c r="H83" s="5">
        <v>9.0299999999999994</v>
      </c>
      <c r="I83" s="102">
        <f>45*4+45/30*13</f>
        <v>199.5</v>
      </c>
      <c r="J83" s="5">
        <v>80</v>
      </c>
      <c r="K83" s="5"/>
      <c r="L83" s="6">
        <v>67.5</v>
      </c>
      <c r="M83" s="61">
        <v>45</v>
      </c>
      <c r="N83" s="6">
        <f>(L83-M83)*0.7</f>
        <v>15.749999999999998</v>
      </c>
    </row>
    <row r="84" spans="1:14">
      <c r="A84" s="44" t="s">
        <v>153</v>
      </c>
      <c r="B84" s="44"/>
      <c r="C84" s="4">
        <v>44623</v>
      </c>
      <c r="D84" s="4"/>
      <c r="E84" s="4">
        <v>44623</v>
      </c>
      <c r="F84" s="40"/>
      <c r="G84" s="40"/>
      <c r="H84" s="5">
        <v>11.03</v>
      </c>
      <c r="I84" s="102">
        <v>0</v>
      </c>
      <c r="J84" s="5">
        <v>15</v>
      </c>
      <c r="K84" s="5"/>
      <c r="L84" s="6">
        <v>30</v>
      </c>
      <c r="M84" s="61">
        <v>12</v>
      </c>
      <c r="N84" s="6">
        <f>(L84-M84)*0.7</f>
        <v>12.6</v>
      </c>
    </row>
    <row r="85" spans="1:14">
      <c r="A85" s="44" t="s">
        <v>154</v>
      </c>
      <c r="B85" s="44"/>
      <c r="C85" s="4">
        <v>44881</v>
      </c>
      <c r="D85" s="4"/>
      <c r="E85" s="4">
        <v>44628</v>
      </c>
      <c r="F85" s="40"/>
      <c r="G85" s="40"/>
      <c r="H85" s="5">
        <v>9.0299999999999994</v>
      </c>
      <c r="I85" s="102">
        <f>65*3+65/30*22</f>
        <v>242.66666666666666</v>
      </c>
      <c r="J85" s="5">
        <v>95</v>
      </c>
      <c r="K85" s="5"/>
      <c r="L85" s="6">
        <v>112</v>
      </c>
      <c r="M85" s="61">
        <v>65</v>
      </c>
      <c r="N85" s="6">
        <f>(L85-M85)*0.7</f>
        <v>32.9</v>
      </c>
    </row>
    <row r="86" spans="1:14">
      <c r="A86" s="44" t="s">
        <v>155</v>
      </c>
      <c r="B86" s="44"/>
      <c r="C86" s="4">
        <v>44490</v>
      </c>
      <c r="D86" s="4"/>
      <c r="E86" s="4">
        <v>44648</v>
      </c>
      <c r="F86" s="40"/>
      <c r="G86" s="40"/>
      <c r="H86" s="5">
        <v>13.4</v>
      </c>
      <c r="I86" s="102">
        <f>45*5+45/30*7</f>
        <v>235.5</v>
      </c>
      <c r="J86" s="5">
        <v>80</v>
      </c>
      <c r="K86" s="5"/>
      <c r="L86" s="6">
        <v>67.5</v>
      </c>
      <c r="M86" s="61">
        <v>45</v>
      </c>
      <c r="N86" s="6">
        <f>(L86-M86)*0.7</f>
        <v>15.749999999999998</v>
      </c>
    </row>
    <row r="87" spans="1:14">
      <c r="A87" s="44" t="s">
        <v>156</v>
      </c>
      <c r="B87" s="44"/>
      <c r="C87" s="4">
        <v>44489</v>
      </c>
      <c r="D87" s="4"/>
      <c r="E87" s="4">
        <v>44651</v>
      </c>
      <c r="F87" s="40"/>
      <c r="G87" s="40"/>
      <c r="H87" s="5">
        <v>15.46</v>
      </c>
      <c r="I87" s="102">
        <f>50*5+50/10</f>
        <v>255</v>
      </c>
      <c r="J87" s="5">
        <v>145</v>
      </c>
      <c r="K87" s="5"/>
      <c r="L87" s="6">
        <v>125</v>
      </c>
      <c r="M87" s="61">
        <v>50</v>
      </c>
      <c r="N87" s="6">
        <f>(L87-M87)*0.7</f>
        <v>52.5</v>
      </c>
    </row>
    <row r="88" spans="1:14">
      <c r="A88" s="44" t="s">
        <v>157</v>
      </c>
      <c r="B88" s="44"/>
      <c r="C88" s="4">
        <v>44627</v>
      </c>
      <c r="D88" s="4"/>
      <c r="E88" s="4">
        <v>44627</v>
      </c>
      <c r="F88" s="10" t="s">
        <v>161</v>
      </c>
      <c r="G88" s="12">
        <v>10</v>
      </c>
      <c r="H88" s="5">
        <v>15.46</v>
      </c>
      <c r="I88" s="102">
        <v>0</v>
      </c>
      <c r="J88" s="5">
        <v>0</v>
      </c>
      <c r="K88" s="5"/>
      <c r="L88" s="6">
        <v>100</v>
      </c>
      <c r="M88" s="61">
        <v>44</v>
      </c>
      <c r="N88" s="6">
        <f>10+(46)*0.7</f>
        <v>42.199999999999996</v>
      </c>
    </row>
    <row r="89" spans="1:14">
      <c r="A89" s="44" t="s">
        <v>158</v>
      </c>
      <c r="B89" s="44"/>
      <c r="C89" s="4">
        <v>44627</v>
      </c>
      <c r="D89" s="4"/>
      <c r="E89" s="4">
        <v>44627</v>
      </c>
      <c r="F89" s="10" t="s">
        <v>161</v>
      </c>
      <c r="G89" s="12">
        <v>12.5</v>
      </c>
      <c r="H89" s="5">
        <v>15.46</v>
      </c>
      <c r="I89" s="102">
        <v>0</v>
      </c>
      <c r="J89" s="5">
        <v>0</v>
      </c>
      <c r="K89" s="5"/>
      <c r="L89" s="6">
        <v>125</v>
      </c>
      <c r="M89" s="61">
        <v>55</v>
      </c>
      <c r="N89" s="6">
        <f>12.5+(57.5)*0.7</f>
        <v>52.75</v>
      </c>
    </row>
    <row r="90" spans="1:14">
      <c r="A90" s="44" t="s">
        <v>171</v>
      </c>
      <c r="B90" s="44"/>
      <c r="C90" s="4">
        <v>44648</v>
      </c>
      <c r="D90" s="4"/>
      <c r="E90" s="4">
        <v>44734</v>
      </c>
      <c r="F90" s="40"/>
      <c r="G90" s="5"/>
      <c r="H90" s="5">
        <v>13.72</v>
      </c>
      <c r="I90" s="102">
        <f>56/30*84</f>
        <v>156.80000000000001</v>
      </c>
      <c r="J90" s="5">
        <v>95</v>
      </c>
      <c r="K90" s="5"/>
      <c r="L90" s="6">
        <v>140</v>
      </c>
      <c r="M90" s="61">
        <v>56</v>
      </c>
      <c r="N90" s="6">
        <f>(140-56)*0.7</f>
        <v>58.8</v>
      </c>
    </row>
    <row r="91" spans="1:14">
      <c r="A91" s="44" t="s">
        <v>172</v>
      </c>
      <c r="B91" s="44"/>
      <c r="C91" s="4">
        <v>44705</v>
      </c>
      <c r="D91" s="4"/>
      <c r="E91" s="4">
        <v>44715</v>
      </c>
      <c r="F91" s="40"/>
      <c r="G91" s="5"/>
      <c r="H91" s="5">
        <v>10.039999999999999</v>
      </c>
      <c r="I91" s="102">
        <f>25/30*9</f>
        <v>7.5</v>
      </c>
      <c r="J91" s="5"/>
      <c r="K91" s="5"/>
      <c r="L91" s="6">
        <v>50</v>
      </c>
      <c r="M91" s="61">
        <v>25</v>
      </c>
      <c r="N91" s="6">
        <f>(50-25)*0.7</f>
        <v>17.5</v>
      </c>
    </row>
    <row r="92" spans="1:14">
      <c r="A92" s="44" t="s">
        <v>173</v>
      </c>
      <c r="B92" s="44"/>
      <c r="C92" s="4">
        <v>44704</v>
      </c>
      <c r="D92" s="4"/>
      <c r="E92" s="4">
        <v>44721</v>
      </c>
      <c r="F92" s="10" t="s">
        <v>161</v>
      </c>
      <c r="G92" s="56">
        <v>12.5</v>
      </c>
      <c r="H92" s="5">
        <v>13.72</v>
      </c>
      <c r="I92" s="102">
        <f>37/30*16</f>
        <v>19.733333333333334</v>
      </c>
      <c r="J92" s="5">
        <f>50+45</f>
        <v>95</v>
      </c>
      <c r="K92" s="5"/>
      <c r="L92" s="6">
        <v>110</v>
      </c>
      <c r="M92" s="61">
        <v>37</v>
      </c>
      <c r="N92" s="56">
        <f>12.5+(97.5-37)*0.7</f>
        <v>54.849999999999994</v>
      </c>
    </row>
    <row r="93" spans="1:14">
      <c r="A93" s="44" t="s">
        <v>174</v>
      </c>
      <c r="B93" s="44"/>
      <c r="C93" s="4">
        <v>44715</v>
      </c>
      <c r="D93" s="4"/>
      <c r="E93" s="4">
        <v>44820</v>
      </c>
      <c r="F93" s="10" t="s">
        <v>161</v>
      </c>
      <c r="G93" s="56">
        <v>15</v>
      </c>
      <c r="H93" s="5">
        <v>14.6</v>
      </c>
      <c r="I93" s="102">
        <f>56/30*103</f>
        <v>192.26666666666668</v>
      </c>
      <c r="J93" s="5">
        <v>50</v>
      </c>
      <c r="K93" s="5"/>
      <c r="L93" s="6">
        <f>130</f>
        <v>130</v>
      </c>
      <c r="M93" s="61">
        <v>56</v>
      </c>
      <c r="N93" s="56">
        <f>15+(115-56)*0.7</f>
        <v>56.3</v>
      </c>
    </row>
    <row r="94" spans="1:14">
      <c r="A94" s="44" t="s">
        <v>183</v>
      </c>
      <c r="B94" s="44"/>
      <c r="C94" s="4">
        <v>44749</v>
      </c>
      <c r="D94" s="4">
        <v>44830</v>
      </c>
      <c r="E94" s="4">
        <v>44858</v>
      </c>
      <c r="F94" s="40"/>
      <c r="G94" s="5"/>
      <c r="H94" s="5">
        <v>11.03</v>
      </c>
      <c r="I94" s="102">
        <v>25</v>
      </c>
      <c r="J94" s="5">
        <v>15</v>
      </c>
      <c r="K94" s="5"/>
      <c r="L94" s="6">
        <v>80</v>
      </c>
      <c r="M94" s="61">
        <v>25</v>
      </c>
      <c r="N94" s="6">
        <f>55*0.7</f>
        <v>38.5</v>
      </c>
    </row>
    <row r="95" spans="1:14">
      <c r="A95" s="44" t="s">
        <v>184</v>
      </c>
      <c r="B95" s="44"/>
      <c r="C95" s="4">
        <v>44775</v>
      </c>
      <c r="D95" s="4">
        <v>44810</v>
      </c>
      <c r="E95" s="4">
        <v>44848</v>
      </c>
      <c r="F95" s="40"/>
      <c r="G95" s="5"/>
      <c r="H95" s="5">
        <v>23.38</v>
      </c>
      <c r="I95" s="102">
        <f>100/30*38</f>
        <v>126.66666666666667</v>
      </c>
      <c r="J95" s="5">
        <v>155</v>
      </c>
      <c r="K95" s="5"/>
      <c r="L95" s="6">
        <v>220</v>
      </c>
      <c r="M95" s="61">
        <v>100</v>
      </c>
      <c r="N95" s="6">
        <v>90.75</v>
      </c>
    </row>
    <row r="96" spans="1:14">
      <c r="A96" s="44" t="s">
        <v>185</v>
      </c>
      <c r="B96" s="44"/>
      <c r="C96" s="4">
        <v>44830</v>
      </c>
      <c r="D96" s="4">
        <v>44852</v>
      </c>
      <c r="E96" s="4">
        <v>44858</v>
      </c>
      <c r="F96" s="10" t="s">
        <v>161</v>
      </c>
      <c r="G96" s="12">
        <v>15</v>
      </c>
      <c r="H96" s="5">
        <v>23.38</v>
      </c>
      <c r="I96" s="102">
        <f>54.5/30*6</f>
        <v>10.9</v>
      </c>
      <c r="J96" s="5">
        <v>95</v>
      </c>
      <c r="K96" s="5"/>
      <c r="L96" s="6">
        <v>160</v>
      </c>
      <c r="M96" s="61">
        <v>64.5</v>
      </c>
      <c r="N96" s="6">
        <f>15+(145-64.5)*0.7</f>
        <v>71.349999999999994</v>
      </c>
    </row>
    <row r="97" spans="1:16">
      <c r="A97" s="44" t="s">
        <v>190</v>
      </c>
      <c r="B97" s="44"/>
      <c r="C97" s="4"/>
      <c r="D97" s="4">
        <v>44879</v>
      </c>
      <c r="E97" s="35">
        <v>44887</v>
      </c>
      <c r="F97" s="44" t="s">
        <v>161</v>
      </c>
      <c r="G97" s="56">
        <v>10</v>
      </c>
      <c r="H97" s="5">
        <v>14.6</v>
      </c>
      <c r="I97" s="102">
        <f>34/30*8</f>
        <v>9.0666666666666664</v>
      </c>
      <c r="J97" s="5">
        <v>45</v>
      </c>
      <c r="K97" s="5"/>
      <c r="L97" s="6">
        <v>90</v>
      </c>
      <c r="M97" s="61">
        <v>34</v>
      </c>
      <c r="N97" s="56">
        <f>10+(80-34)*0.7</f>
        <v>42.199999999999996</v>
      </c>
    </row>
    <row r="98" spans="1:16">
      <c r="A98" s="44" t="s">
        <v>193</v>
      </c>
      <c r="B98" s="44"/>
      <c r="C98" s="4">
        <v>44872</v>
      </c>
      <c r="D98" s="4">
        <v>44879</v>
      </c>
      <c r="E98" s="35">
        <v>44882</v>
      </c>
      <c r="F98" s="40"/>
      <c r="G98" s="5"/>
      <c r="H98" s="5">
        <v>10.039999999999999</v>
      </c>
      <c r="I98" s="102">
        <f>25/30*3</f>
        <v>2.5</v>
      </c>
      <c r="J98" s="5"/>
      <c r="K98" s="5"/>
      <c r="L98" s="6">
        <v>40</v>
      </c>
      <c r="M98" s="61">
        <v>25</v>
      </c>
      <c r="N98" s="6">
        <f>(L98-M98)*0.7</f>
        <v>10.5</v>
      </c>
    </row>
    <row r="99" spans="1:16">
      <c r="A99" s="44" t="s">
        <v>213</v>
      </c>
      <c r="B99" s="44"/>
      <c r="C99" s="4">
        <v>44894</v>
      </c>
      <c r="D99" s="4">
        <v>44908</v>
      </c>
      <c r="E99" s="35">
        <v>44944</v>
      </c>
      <c r="F99" s="40" t="s">
        <v>161</v>
      </c>
      <c r="G99" s="5">
        <v>15</v>
      </c>
      <c r="H99" s="5">
        <v>31.72</v>
      </c>
      <c r="I99" s="102">
        <f>50/30*35</f>
        <v>58.333333333333336</v>
      </c>
      <c r="J99" s="5">
        <f>60+50</f>
        <v>110</v>
      </c>
      <c r="K99" s="5"/>
      <c r="L99" s="6">
        <v>130</v>
      </c>
      <c r="M99" s="61">
        <f>19+2+3.5*2+11*2</f>
        <v>50</v>
      </c>
      <c r="N99" s="94">
        <f>15+(L99-M99-15)*0.7</f>
        <v>60.5</v>
      </c>
    </row>
    <row r="100" spans="1:16">
      <c r="A100" s="44" t="s">
        <v>227</v>
      </c>
      <c r="B100" s="44"/>
      <c r="C100" s="4">
        <v>44949</v>
      </c>
      <c r="D100" s="4">
        <v>44953</v>
      </c>
      <c r="E100" s="35">
        <v>44966</v>
      </c>
      <c r="F100" s="40" t="s">
        <v>160</v>
      </c>
      <c r="G100" s="5">
        <v>15</v>
      </c>
      <c r="H100" s="5">
        <v>16.38</v>
      </c>
      <c r="I100" s="102">
        <f>61.5/30*12</f>
        <v>24.599999999999998</v>
      </c>
      <c r="J100" s="5">
        <f>50+60</f>
        <v>110</v>
      </c>
      <c r="K100" s="5"/>
      <c r="L100" s="6">
        <v>160</v>
      </c>
      <c r="M100" s="65">
        <f>32.5+7+22</f>
        <v>61.5</v>
      </c>
      <c r="N100" s="59">
        <f>15+(L100-M100-15)*0.7</f>
        <v>73.449999999999989</v>
      </c>
    </row>
    <row r="101" spans="1:16">
      <c r="A101" s="44" t="s">
        <v>228</v>
      </c>
      <c r="B101" s="44"/>
      <c r="C101" s="4">
        <v>44957</v>
      </c>
      <c r="D101" s="4">
        <v>44957</v>
      </c>
      <c r="E101" s="35">
        <v>44977</v>
      </c>
      <c r="F101" s="40"/>
      <c r="G101" s="5"/>
      <c r="H101" s="5">
        <v>20.61</v>
      </c>
      <c r="I101" s="102">
        <f>66/30*20</f>
        <v>44</v>
      </c>
      <c r="J101" s="5">
        <v>90</v>
      </c>
      <c r="K101" s="5"/>
      <c r="L101" s="6">
        <v>155</v>
      </c>
      <c r="M101" s="65">
        <v>54</v>
      </c>
      <c r="N101" s="59">
        <f>(L101-M101)*0.7</f>
        <v>70.699999999999989</v>
      </c>
    </row>
    <row r="102" spans="1:16">
      <c r="A102" s="44" t="s">
        <v>255</v>
      </c>
      <c r="B102" s="44"/>
      <c r="C102" s="35">
        <v>44691</v>
      </c>
      <c r="D102" s="35">
        <v>44994</v>
      </c>
      <c r="E102" s="4">
        <v>44994</v>
      </c>
      <c r="F102" s="40"/>
      <c r="G102" s="40"/>
      <c r="H102" s="5">
        <v>11.03</v>
      </c>
      <c r="I102" s="102">
        <f>25*14</f>
        <v>350</v>
      </c>
      <c r="J102" s="40">
        <f>30+50</f>
        <v>80</v>
      </c>
      <c r="K102" s="40"/>
      <c r="L102" s="6">
        <v>90</v>
      </c>
      <c r="M102" s="6">
        <v>25</v>
      </c>
      <c r="N102" s="59">
        <v>48.5</v>
      </c>
    </row>
    <row r="103" spans="1:16">
      <c r="A103" s="44" t="s">
        <v>187</v>
      </c>
      <c r="B103" s="44"/>
      <c r="C103" s="35"/>
      <c r="D103" s="35">
        <v>44991</v>
      </c>
      <c r="E103" s="4">
        <v>44991</v>
      </c>
      <c r="F103" s="40"/>
      <c r="G103" s="40"/>
      <c r="H103" s="5">
        <v>13.31</v>
      </c>
      <c r="I103" s="102"/>
      <c r="J103" s="40">
        <v>45</v>
      </c>
      <c r="K103" s="40"/>
      <c r="L103" s="6">
        <v>80</v>
      </c>
      <c r="M103" s="6">
        <v>27</v>
      </c>
      <c r="N103" s="59">
        <f>(L103-M103)*0.7</f>
        <v>37.099999999999994</v>
      </c>
    </row>
    <row r="104" spans="1:16">
      <c r="A104" s="76" t="s">
        <v>276</v>
      </c>
      <c r="B104" s="44"/>
      <c r="C104" s="35">
        <v>45061</v>
      </c>
      <c r="D104" s="35">
        <v>45070</v>
      </c>
      <c r="E104" s="4"/>
      <c r="F104" s="40"/>
      <c r="G104" s="40"/>
      <c r="H104" s="5">
        <v>11.48</v>
      </c>
      <c r="I104" s="102">
        <f>21/30*9</f>
        <v>6.3</v>
      </c>
      <c r="J104" s="40"/>
      <c r="K104" s="40"/>
      <c r="L104" s="17">
        <f>50</f>
        <v>50</v>
      </c>
      <c r="M104" s="18">
        <v>21</v>
      </c>
      <c r="N104" s="70">
        <f>(50-21)*0.7</f>
        <v>20.299999999999997</v>
      </c>
    </row>
    <row r="105" spans="1:16">
      <c r="A105" s="76" t="s">
        <v>279</v>
      </c>
      <c r="B105" s="44"/>
      <c r="C105" s="35">
        <v>45065</v>
      </c>
      <c r="D105" s="35">
        <v>45070</v>
      </c>
      <c r="E105" s="4"/>
      <c r="F105" s="40"/>
      <c r="G105" s="40"/>
      <c r="H105" s="5">
        <v>11.48</v>
      </c>
      <c r="I105" s="102">
        <f>21/30*5</f>
        <v>3.5</v>
      </c>
      <c r="J105" s="40"/>
      <c r="K105" s="40"/>
      <c r="L105" s="17">
        <f>50</f>
        <v>50</v>
      </c>
      <c r="M105" s="18">
        <v>21</v>
      </c>
      <c r="N105" s="70">
        <f>(50-21)*0.7</f>
        <v>20.299999999999997</v>
      </c>
    </row>
    <row r="106" spans="1:16">
      <c r="A106" s="76" t="s">
        <v>278</v>
      </c>
      <c r="B106" s="52"/>
      <c r="C106" s="57">
        <v>44973</v>
      </c>
      <c r="D106" s="57">
        <v>45070</v>
      </c>
      <c r="E106" s="24"/>
      <c r="F106" s="48"/>
      <c r="G106" s="48"/>
      <c r="H106" s="25">
        <v>11.48</v>
      </c>
      <c r="I106" s="103">
        <f>21/30*98</f>
        <v>68.599999999999994</v>
      </c>
      <c r="J106" s="48"/>
      <c r="K106" s="48"/>
      <c r="L106" s="17">
        <v>50</v>
      </c>
      <c r="M106" s="26">
        <v>21</v>
      </c>
      <c r="N106" s="85">
        <f>(50-21)*0.7</f>
        <v>20.299999999999997</v>
      </c>
    </row>
    <row r="107" spans="1:16">
      <c r="A107" s="44" t="s">
        <v>289</v>
      </c>
      <c r="B107" s="44"/>
      <c r="C107" s="35">
        <v>45110</v>
      </c>
      <c r="D107" s="35">
        <v>45127</v>
      </c>
      <c r="E107" s="4">
        <v>45110</v>
      </c>
      <c r="F107" s="40"/>
      <c r="G107" s="40"/>
      <c r="H107" s="5">
        <v>13.31</v>
      </c>
      <c r="I107" s="102">
        <f>27/30*17</f>
        <v>15.3</v>
      </c>
      <c r="J107" s="40">
        <v>45</v>
      </c>
      <c r="K107" s="40"/>
      <c r="L107" s="6">
        <v>75</v>
      </c>
      <c r="M107" s="6">
        <v>27</v>
      </c>
      <c r="N107" s="59">
        <f>(L107-M107)*0.7</f>
        <v>33.599999999999994</v>
      </c>
    </row>
    <row r="108" spans="1:16">
      <c r="A108" s="44" t="s">
        <v>292</v>
      </c>
      <c r="B108" s="44"/>
      <c r="C108" s="35">
        <v>45138</v>
      </c>
      <c r="D108" s="35">
        <v>45139</v>
      </c>
      <c r="E108" s="35">
        <v>45162</v>
      </c>
      <c r="F108" s="40"/>
      <c r="G108" s="40"/>
      <c r="H108" s="5">
        <v>12.48</v>
      </c>
      <c r="I108" s="102">
        <f>27/30*23</f>
        <v>20.7</v>
      </c>
      <c r="J108" s="40">
        <v>45</v>
      </c>
      <c r="K108" s="40"/>
      <c r="L108" s="6">
        <v>90</v>
      </c>
      <c r="M108" s="6">
        <v>27</v>
      </c>
      <c r="N108" s="59">
        <f>(L108-M108)*0.7</f>
        <v>44.099999999999994</v>
      </c>
    </row>
    <row r="109" spans="1:16">
      <c r="A109" s="44" t="s">
        <v>293</v>
      </c>
      <c r="B109" s="44"/>
      <c r="C109" s="35">
        <v>45086</v>
      </c>
      <c r="D109" s="35">
        <v>45089</v>
      </c>
      <c r="E109" s="4">
        <v>45103</v>
      </c>
      <c r="F109" s="40"/>
      <c r="G109" s="40"/>
      <c r="H109" s="5">
        <v>11.03</v>
      </c>
      <c r="I109" s="102">
        <f>21/30*14</f>
        <v>9.7999999999999989</v>
      </c>
      <c r="J109" s="40"/>
      <c r="K109" s="40"/>
      <c r="L109" s="6">
        <v>50</v>
      </c>
      <c r="M109" s="6">
        <v>21</v>
      </c>
      <c r="N109" s="59">
        <f>(L109-M109)*0.7</f>
        <v>20.299999999999997</v>
      </c>
    </row>
    <row r="110" spans="1:16">
      <c r="A110" s="44" t="s">
        <v>295</v>
      </c>
      <c r="B110" s="44"/>
      <c r="C110" s="35">
        <v>45228</v>
      </c>
      <c r="D110" s="35">
        <v>45203</v>
      </c>
      <c r="E110" s="4"/>
      <c r="F110" s="40"/>
      <c r="G110" s="40"/>
      <c r="H110" s="5">
        <v>13.31</v>
      </c>
      <c r="I110" s="102">
        <f>27/30*5</f>
        <v>4.5</v>
      </c>
      <c r="J110" s="40">
        <v>45</v>
      </c>
      <c r="K110" s="40"/>
      <c r="L110" s="6">
        <v>80</v>
      </c>
      <c r="M110" s="6">
        <v>27</v>
      </c>
      <c r="N110" s="59">
        <f>(L110-M110)*0.7</f>
        <v>37.099999999999994</v>
      </c>
    </row>
    <row r="111" spans="1:16">
      <c r="A111" s="44" t="s">
        <v>320</v>
      </c>
      <c r="B111" s="44"/>
      <c r="C111" s="35">
        <v>45177</v>
      </c>
      <c r="D111" s="35">
        <v>45196</v>
      </c>
      <c r="E111" s="4"/>
      <c r="F111" s="40"/>
      <c r="G111" s="40"/>
      <c r="H111" s="5">
        <v>10.44</v>
      </c>
      <c r="I111" s="102">
        <f>38/30*21</f>
        <v>26.599999999999998</v>
      </c>
      <c r="J111" s="40"/>
      <c r="K111" s="40"/>
      <c r="L111" s="6">
        <v>69</v>
      </c>
      <c r="M111" s="6">
        <v>38</v>
      </c>
      <c r="N111" s="59">
        <f>(69-38)*0.7</f>
        <v>21.7</v>
      </c>
    </row>
    <row r="112" spans="1:16">
      <c r="A112" s="44" t="s">
        <v>325</v>
      </c>
      <c r="B112" s="44"/>
      <c r="C112" s="35"/>
      <c r="D112" s="35">
        <v>45223</v>
      </c>
      <c r="E112" s="4">
        <v>45239</v>
      </c>
      <c r="F112" s="40"/>
      <c r="G112" s="40"/>
      <c r="H112" s="5">
        <v>40</v>
      </c>
      <c r="I112" s="102">
        <f>43/30*15</f>
        <v>21.5</v>
      </c>
      <c r="J112" s="40"/>
      <c r="K112" s="40"/>
      <c r="L112" s="6">
        <v>69</v>
      </c>
      <c r="M112" s="6">
        <v>43</v>
      </c>
      <c r="N112" s="94">
        <f>(69-43)*0.7</f>
        <v>18.2</v>
      </c>
      <c r="O112" s="72" t="s">
        <v>329</v>
      </c>
      <c r="P112" s="72">
        <v>12.74</v>
      </c>
    </row>
    <row r="113" spans="1:15">
      <c r="A113" s="44" t="s">
        <v>326</v>
      </c>
      <c r="B113" s="44"/>
      <c r="C113" s="35"/>
      <c r="D113" s="35">
        <v>45188</v>
      </c>
      <c r="E113" s="4">
        <v>45209</v>
      </c>
      <c r="F113" s="40"/>
      <c r="G113" s="40"/>
      <c r="H113" s="5">
        <v>11.48</v>
      </c>
      <c r="I113" s="102"/>
      <c r="J113" s="40"/>
      <c r="K113" s="40"/>
      <c r="L113" s="6">
        <v>59</v>
      </c>
      <c r="M113" s="6">
        <v>38</v>
      </c>
      <c r="N113" s="59">
        <f>(L113-M113)*0.7</f>
        <v>14.7</v>
      </c>
    </row>
    <row r="114" spans="1:15">
      <c r="A114" s="44" t="s">
        <v>108</v>
      </c>
      <c r="B114" s="44"/>
      <c r="C114" s="35"/>
      <c r="D114" s="35">
        <v>45231</v>
      </c>
      <c r="E114" s="4">
        <v>45231</v>
      </c>
      <c r="F114" s="40"/>
      <c r="G114" s="40"/>
      <c r="H114" s="5"/>
      <c r="I114" s="102"/>
      <c r="J114" s="40"/>
      <c r="K114" s="40"/>
      <c r="L114" s="6">
        <v>69</v>
      </c>
      <c r="M114" s="6">
        <v>43</v>
      </c>
      <c r="N114" s="59">
        <f>(L114-M114)*0.7</f>
        <v>18.2</v>
      </c>
    </row>
    <row r="115" spans="1:15">
      <c r="A115" s="44" t="s">
        <v>327</v>
      </c>
      <c r="B115" s="44"/>
      <c r="C115" s="35"/>
      <c r="D115" s="35"/>
      <c r="E115" s="4">
        <v>45127</v>
      </c>
      <c r="F115" s="40"/>
      <c r="G115" s="40"/>
      <c r="H115" s="5">
        <v>11.48</v>
      </c>
      <c r="I115" s="102"/>
      <c r="J115" s="40"/>
      <c r="K115" s="40"/>
      <c r="L115" s="6">
        <v>25</v>
      </c>
      <c r="M115" s="6">
        <v>9</v>
      </c>
      <c r="N115" s="59">
        <f>(L115-M115)*0.7</f>
        <v>11.2</v>
      </c>
    </row>
    <row r="116" spans="1:15">
      <c r="A116" s="44" t="s">
        <v>336</v>
      </c>
      <c r="B116" s="44"/>
      <c r="C116" s="35"/>
      <c r="D116" s="35">
        <v>45278</v>
      </c>
      <c r="E116" s="4">
        <v>45278</v>
      </c>
      <c r="F116" s="40"/>
      <c r="G116" s="40"/>
      <c r="H116" s="5"/>
      <c r="I116" s="102"/>
      <c r="J116" s="40"/>
      <c r="K116" s="40"/>
      <c r="L116" s="6">
        <v>69</v>
      </c>
      <c r="M116" s="6">
        <v>43</v>
      </c>
      <c r="N116" s="59">
        <f>(69-43)*0.7/30*42</f>
        <v>25.48</v>
      </c>
    </row>
    <row r="117" spans="1:15">
      <c r="A117" s="44" t="s">
        <v>337</v>
      </c>
      <c r="B117" s="44"/>
      <c r="C117" s="35">
        <v>45342</v>
      </c>
      <c r="D117" s="35">
        <v>44977</v>
      </c>
      <c r="E117" s="4">
        <v>45342</v>
      </c>
      <c r="F117" s="40"/>
      <c r="G117" s="40"/>
      <c r="H117" s="5">
        <v>13.78</v>
      </c>
      <c r="I117" s="102"/>
      <c r="J117" s="40">
        <f>45+50</f>
        <v>95</v>
      </c>
      <c r="K117" s="40"/>
      <c r="L117" s="6">
        <v>100</v>
      </c>
      <c r="M117" s="6">
        <v>38.5</v>
      </c>
      <c r="N117" s="59">
        <f t="shared" ref="N117:N123" si="2">(L117-M117)*0.7</f>
        <v>43.05</v>
      </c>
    </row>
    <row r="118" spans="1:15">
      <c r="A118" s="44" t="s">
        <v>338</v>
      </c>
      <c r="B118" s="44"/>
      <c r="C118" s="35">
        <v>45271</v>
      </c>
      <c r="D118" s="35"/>
      <c r="E118" s="4">
        <v>45301</v>
      </c>
      <c r="F118" s="40"/>
      <c r="G118" s="40"/>
      <c r="H118" s="5">
        <v>14.26</v>
      </c>
      <c r="I118" s="102">
        <f>25/30*29</f>
        <v>24.166666666666668</v>
      </c>
      <c r="J118" s="40">
        <f>30+50</f>
        <v>80</v>
      </c>
      <c r="K118" s="40"/>
      <c r="L118" s="6">
        <v>80</v>
      </c>
      <c r="M118" s="6">
        <v>29</v>
      </c>
      <c r="N118" s="59">
        <f t="shared" si="2"/>
        <v>35.699999999999996</v>
      </c>
      <c r="O118" t="s">
        <v>339</v>
      </c>
    </row>
    <row r="119" spans="1:15">
      <c r="A119" s="44" t="s">
        <v>333</v>
      </c>
      <c r="B119" s="44"/>
      <c r="C119" s="35"/>
      <c r="D119" s="35"/>
      <c r="E119" s="4">
        <v>45336</v>
      </c>
      <c r="F119" s="40"/>
      <c r="G119" s="40"/>
      <c r="H119" s="5">
        <v>10</v>
      </c>
      <c r="I119" s="102">
        <v>0</v>
      </c>
      <c r="J119" s="40">
        <v>120</v>
      </c>
      <c r="K119" s="40"/>
      <c r="L119" s="6">
        <v>160</v>
      </c>
      <c r="M119" s="6">
        <v>72</v>
      </c>
      <c r="N119" s="59">
        <f t="shared" si="2"/>
        <v>61.599999999999994</v>
      </c>
    </row>
    <row r="120" spans="1:15">
      <c r="A120" s="44" t="s">
        <v>343</v>
      </c>
      <c r="B120" s="44"/>
      <c r="C120" s="35"/>
      <c r="D120" s="35"/>
      <c r="E120" s="4">
        <v>45336</v>
      </c>
      <c r="F120" s="40"/>
      <c r="G120" s="40"/>
      <c r="H120" s="5">
        <v>10.92</v>
      </c>
      <c r="I120" s="102"/>
      <c r="J120" s="40"/>
      <c r="K120" s="40"/>
      <c r="L120" s="6">
        <v>59</v>
      </c>
      <c r="M120" s="6">
        <v>38</v>
      </c>
      <c r="N120" s="59">
        <f t="shared" si="2"/>
        <v>14.7</v>
      </c>
    </row>
    <row r="121" spans="1:15">
      <c r="A121" s="44" t="s">
        <v>344</v>
      </c>
      <c r="B121" s="44"/>
      <c r="C121" s="35"/>
      <c r="D121" s="35">
        <v>45323</v>
      </c>
      <c r="E121" s="4">
        <v>45323</v>
      </c>
      <c r="F121" s="40"/>
      <c r="G121" s="40"/>
      <c r="H121" s="5">
        <v>10.92</v>
      </c>
      <c r="I121" s="102"/>
      <c r="J121" s="40"/>
      <c r="K121" s="40"/>
      <c r="L121" s="6">
        <v>40</v>
      </c>
      <c r="M121" s="6">
        <v>32.5</v>
      </c>
      <c r="N121" s="59">
        <f t="shared" si="2"/>
        <v>5.25</v>
      </c>
    </row>
    <row r="122" spans="1:15">
      <c r="A122" s="44" t="s">
        <v>345</v>
      </c>
      <c r="B122" s="44"/>
      <c r="C122" s="35"/>
      <c r="D122" s="35"/>
      <c r="E122" s="4">
        <v>45345</v>
      </c>
      <c r="F122" s="40"/>
      <c r="G122" s="40"/>
      <c r="H122" s="5">
        <v>24.2</v>
      </c>
      <c r="I122" s="102"/>
      <c r="J122" s="40">
        <v>45</v>
      </c>
      <c r="K122" s="40"/>
      <c r="L122" s="6">
        <v>90</v>
      </c>
      <c r="M122" s="6">
        <f>7+9</f>
        <v>16</v>
      </c>
      <c r="N122" s="59">
        <f t="shared" si="2"/>
        <v>51.8</v>
      </c>
    </row>
    <row r="123" spans="1:15">
      <c r="A123" s="44" t="s">
        <v>346</v>
      </c>
      <c r="B123" s="44"/>
      <c r="C123" s="35"/>
      <c r="D123" s="35"/>
      <c r="E123" s="4">
        <v>45334</v>
      </c>
      <c r="F123" s="40"/>
      <c r="G123" s="40"/>
      <c r="H123" s="5">
        <v>12.01</v>
      </c>
      <c r="I123" s="102"/>
      <c r="J123" s="40">
        <v>15</v>
      </c>
      <c r="K123" s="40"/>
      <c r="L123" s="6">
        <v>20</v>
      </c>
      <c r="M123" s="6">
        <v>9</v>
      </c>
      <c r="N123" s="70">
        <f t="shared" si="2"/>
        <v>7.6999999999999993</v>
      </c>
    </row>
    <row r="124" spans="1:15">
      <c r="A124" s="10" t="s">
        <v>361</v>
      </c>
      <c r="B124" s="44"/>
      <c r="C124" s="35"/>
      <c r="D124" s="35">
        <v>45366</v>
      </c>
      <c r="E124" s="4">
        <v>45385</v>
      </c>
      <c r="F124" s="40"/>
      <c r="G124" s="40"/>
      <c r="H124" s="5"/>
      <c r="I124" s="102">
        <f>69/30*18</f>
        <v>41.4</v>
      </c>
      <c r="J124" s="40"/>
      <c r="K124" s="40"/>
      <c r="L124" s="6">
        <v>69</v>
      </c>
      <c r="M124" s="6">
        <v>43</v>
      </c>
      <c r="N124" s="70">
        <f>(L124-M124)*0.7/30*27</f>
        <v>16.38</v>
      </c>
    </row>
    <row r="125" spans="1:15">
      <c r="C125" s="36"/>
      <c r="D125" s="36"/>
      <c r="F125" s="28"/>
      <c r="G125" s="28"/>
      <c r="H125" s="30"/>
      <c r="I125" s="104"/>
      <c r="M125" s="62" t="s">
        <v>4</v>
      </c>
      <c r="N125" s="18">
        <f>SUM(N2:N124)</f>
        <v>4471.26</v>
      </c>
    </row>
    <row r="126" spans="1:15">
      <c r="C126" s="36"/>
      <c r="D126" s="36"/>
      <c r="F126" s="28"/>
      <c r="G126" s="28"/>
      <c r="H126" s="30"/>
      <c r="I126" s="104"/>
      <c r="M126" s="61" t="s">
        <v>251</v>
      </c>
      <c r="N126" s="6">
        <f>N125+N135-I124</f>
        <v>3684.7400000000002</v>
      </c>
    </row>
    <row r="127" spans="1:15">
      <c r="C127" s="36"/>
      <c r="D127" s="36"/>
      <c r="F127" s="28"/>
      <c r="G127" s="28"/>
      <c r="H127" s="30"/>
      <c r="I127" s="104"/>
    </row>
    <row r="129" spans="1:16">
      <c r="A129" s="28"/>
      <c r="B129" s="28"/>
      <c r="E129" s="15"/>
      <c r="F129" s="1"/>
      <c r="G129" s="1"/>
      <c r="H129" s="1"/>
      <c r="J129" s="1"/>
      <c r="K129" s="1"/>
      <c r="L129" s="1"/>
      <c r="M129" s="1"/>
      <c r="N129" s="29"/>
    </row>
    <row r="130" spans="1:16">
      <c r="L130" s="1"/>
      <c r="M130" s="1"/>
    </row>
    <row r="131" spans="1:16">
      <c r="H131" s="30"/>
      <c r="L131" s="1"/>
      <c r="M131" t="s">
        <v>356</v>
      </c>
      <c r="N131">
        <v>-592.91999999999996</v>
      </c>
    </row>
    <row r="132" spans="1:16">
      <c r="M132" t="s">
        <v>357</v>
      </c>
      <c r="N132">
        <v>-8.6999999999999993</v>
      </c>
      <c r="P132" s="42"/>
    </row>
    <row r="133" spans="1:16">
      <c r="M133" s="66" t="s">
        <v>359</v>
      </c>
      <c r="N133">
        <f>-55*0.7</f>
        <v>-38.5</v>
      </c>
    </row>
    <row r="134" spans="1:16">
      <c r="M134" s="66" t="s">
        <v>360</v>
      </c>
      <c r="N134">
        <f>-150*0.7</f>
        <v>-105</v>
      </c>
      <c r="P134" s="42"/>
    </row>
    <row r="135" spans="1:16">
      <c r="N135">
        <f>SUM(N131:N134)</f>
        <v>-745.12</v>
      </c>
    </row>
    <row r="136" spans="1:16">
      <c r="P136" s="42"/>
    </row>
  </sheetData>
  <autoFilter ref="A1:P126">
    <sortState ref="A2:P101">
      <sortCondition ref="B1:B101"/>
    </sortState>
  </autoFilter>
  <pageMargins left="0.7" right="0.7" top="0.75" bottom="0.75" header="0.3" footer="0.3"/>
  <pageSetup paperSize="9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>
  <dimension ref="A1:P136"/>
  <sheetViews>
    <sheetView topLeftCell="B122" workbookViewId="0">
      <selection activeCell="N126" sqref="N126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3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50</v>
      </c>
      <c r="M5" s="61">
        <v>22</v>
      </c>
      <c r="N5" s="6">
        <f t="shared" si="0"/>
        <v>19.599999999999998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40</v>
      </c>
      <c r="B19" s="2"/>
      <c r="C19" s="4">
        <v>43106</v>
      </c>
      <c r="D19" s="4"/>
      <c r="E19" s="4">
        <v>43146</v>
      </c>
      <c r="F19" s="5"/>
      <c r="G19" s="49"/>
      <c r="H19" s="5">
        <v>8.2899999999999991</v>
      </c>
      <c r="I19" s="102">
        <f>25/30*39</f>
        <v>32.5</v>
      </c>
      <c r="J19" s="5"/>
      <c r="K19" s="5"/>
      <c r="L19" s="6">
        <v>70</v>
      </c>
      <c r="M19" s="61">
        <v>26</v>
      </c>
      <c r="N19" s="6">
        <f t="shared" si="0"/>
        <v>30.799999999999997</v>
      </c>
    </row>
    <row r="20" spans="1:15">
      <c r="A20" s="2" t="s">
        <v>44</v>
      </c>
      <c r="B20" s="2"/>
      <c r="C20" s="4">
        <v>43196</v>
      </c>
      <c r="D20" s="4"/>
      <c r="E20" s="4">
        <v>43250</v>
      </c>
      <c r="F20" s="5"/>
      <c r="G20" s="49"/>
      <c r="H20" s="5">
        <v>13.78</v>
      </c>
      <c r="I20" s="102">
        <f>25*24/30+25</f>
        <v>45</v>
      </c>
      <c r="J20" s="5"/>
      <c r="K20" s="5"/>
      <c r="L20" s="6">
        <v>11</v>
      </c>
      <c r="M20" s="61">
        <v>25</v>
      </c>
      <c r="N20" s="6">
        <v>9.7999999999999989</v>
      </c>
    </row>
    <row r="21" spans="1:15">
      <c r="A21" s="22" t="s">
        <v>47</v>
      </c>
      <c r="B21" s="22"/>
      <c r="C21" s="4">
        <v>43355</v>
      </c>
      <c r="D21" s="4"/>
      <c r="E21" s="4">
        <v>43277</v>
      </c>
      <c r="F21" s="5"/>
      <c r="G21" s="49"/>
      <c r="H21" s="5">
        <v>19.98</v>
      </c>
      <c r="I21" s="102">
        <f>36*2+36/30*16</f>
        <v>91.2</v>
      </c>
      <c r="J21" s="5"/>
      <c r="K21" s="5"/>
      <c r="L21" s="6">
        <v>105</v>
      </c>
      <c r="M21" s="61">
        <v>36</v>
      </c>
      <c r="N21" s="6">
        <f t="shared" si="0"/>
        <v>48.3</v>
      </c>
    </row>
    <row r="22" spans="1:15">
      <c r="A22" s="22" t="s">
        <v>48</v>
      </c>
      <c r="B22" s="22"/>
      <c r="C22" s="4">
        <v>43367</v>
      </c>
      <c r="D22" s="4"/>
      <c r="E22" s="4">
        <v>43284</v>
      </c>
      <c r="F22" s="5"/>
      <c r="G22" s="49"/>
      <c r="H22" s="5">
        <v>9.1</v>
      </c>
      <c r="I22" s="102">
        <f>25+25/30*27</f>
        <v>47.5</v>
      </c>
      <c r="J22" s="5"/>
      <c r="K22" s="5"/>
      <c r="L22" s="6">
        <v>75</v>
      </c>
      <c r="M22" s="61">
        <v>25</v>
      </c>
      <c r="N22" s="6">
        <f t="shared" si="0"/>
        <v>35</v>
      </c>
    </row>
    <row r="23" spans="1:15">
      <c r="A23" s="2" t="s">
        <v>45</v>
      </c>
      <c r="B23" s="2"/>
      <c r="C23" s="4"/>
      <c r="D23" s="4"/>
      <c r="E23" s="4">
        <v>43286</v>
      </c>
      <c r="F23" s="5"/>
      <c r="G23" s="49"/>
      <c r="H23" s="5">
        <v>11.56</v>
      </c>
      <c r="I23" s="102"/>
      <c r="J23" s="5"/>
      <c r="K23" s="5"/>
      <c r="L23" s="6">
        <v>150</v>
      </c>
      <c r="M23" s="61">
        <v>76</v>
      </c>
      <c r="N23" s="6">
        <f t="shared" si="0"/>
        <v>51.8</v>
      </c>
      <c r="O23" s="20"/>
    </row>
    <row r="24" spans="1:15">
      <c r="A24" s="22" t="s">
        <v>49</v>
      </c>
      <c r="B24" s="22"/>
      <c r="C24" s="4">
        <v>43367</v>
      </c>
      <c r="D24" s="4"/>
      <c r="E24" s="4">
        <v>43291</v>
      </c>
      <c r="F24" s="5"/>
      <c r="G24" s="49"/>
      <c r="H24" s="5">
        <v>10.039999999999999</v>
      </c>
      <c r="I24" s="102">
        <f>50+25/30*14</f>
        <v>61.666666666666671</v>
      </c>
      <c r="J24" s="5"/>
      <c r="K24" s="5"/>
      <c r="L24" s="6">
        <v>50</v>
      </c>
      <c r="M24" s="61">
        <v>22</v>
      </c>
      <c r="N24" s="18">
        <f t="shared" si="0"/>
        <v>19.599999999999998</v>
      </c>
    </row>
    <row r="25" spans="1:15">
      <c r="A25" s="22" t="s">
        <v>51</v>
      </c>
      <c r="B25" s="22"/>
      <c r="C25" s="4">
        <v>43358</v>
      </c>
      <c r="D25" s="4"/>
      <c r="E25" s="4">
        <v>43291</v>
      </c>
      <c r="F25" s="5"/>
      <c r="G25" s="49"/>
      <c r="H25" s="5">
        <v>10.039999999999999</v>
      </c>
      <c r="I25" s="102">
        <f>50+25/30*5</f>
        <v>54.166666666666664</v>
      </c>
      <c r="J25" s="5"/>
      <c r="K25" s="5"/>
      <c r="L25" s="6">
        <v>75</v>
      </c>
      <c r="M25" s="61">
        <v>25</v>
      </c>
      <c r="N25" s="6">
        <f t="shared" si="0"/>
        <v>35</v>
      </c>
    </row>
    <row r="26" spans="1:15">
      <c r="A26" s="22" t="s">
        <v>52</v>
      </c>
      <c r="B26" s="22"/>
      <c r="C26" s="4">
        <v>43367</v>
      </c>
      <c r="D26" s="4"/>
      <c r="E26" s="4">
        <v>43308</v>
      </c>
      <c r="F26" s="5"/>
      <c r="G26" s="49"/>
      <c r="H26" s="5">
        <v>10.86</v>
      </c>
      <c r="I26" s="102">
        <f>25+25/30*27</f>
        <v>47.5</v>
      </c>
      <c r="J26" s="5"/>
      <c r="K26" s="5"/>
      <c r="L26" s="6">
        <v>75</v>
      </c>
      <c r="M26" s="61">
        <v>25</v>
      </c>
      <c r="N26" s="27">
        <f t="shared" si="0"/>
        <v>35</v>
      </c>
    </row>
    <row r="27" spans="1:15">
      <c r="A27" s="22" t="s">
        <v>50</v>
      </c>
      <c r="B27" s="22"/>
      <c r="C27" s="4">
        <v>43367</v>
      </c>
      <c r="D27" s="4"/>
      <c r="E27" s="4">
        <v>43312</v>
      </c>
      <c r="F27" s="5"/>
      <c r="G27" s="49"/>
      <c r="H27" s="5">
        <v>10.86</v>
      </c>
      <c r="I27" s="102">
        <f>25+25/30*24</f>
        <v>45</v>
      </c>
      <c r="J27" s="5"/>
      <c r="K27" s="5"/>
      <c r="L27" s="6">
        <v>70</v>
      </c>
      <c r="M27" s="61">
        <v>25</v>
      </c>
      <c r="N27" s="6">
        <f t="shared" si="0"/>
        <v>31.499999999999996</v>
      </c>
    </row>
    <row r="28" spans="1:15">
      <c r="A28" s="22" t="s">
        <v>55</v>
      </c>
      <c r="B28" s="22"/>
      <c r="C28" s="4">
        <v>43363</v>
      </c>
      <c r="D28" s="4"/>
      <c r="E28" s="4">
        <v>43440</v>
      </c>
      <c r="F28" s="5"/>
      <c r="G28" s="49"/>
      <c r="H28" s="5">
        <v>14.11</v>
      </c>
      <c r="I28" s="102">
        <f>25*2+25*16/30</f>
        <v>63.333333333333336</v>
      </c>
      <c r="J28" s="5"/>
      <c r="K28" s="5"/>
      <c r="L28" s="6">
        <v>75</v>
      </c>
      <c r="M28" s="61">
        <v>25</v>
      </c>
      <c r="N28" s="6">
        <f t="shared" si="0"/>
        <v>35</v>
      </c>
    </row>
    <row r="29" spans="1:15">
      <c r="A29" s="22" t="s">
        <v>54</v>
      </c>
      <c r="B29" s="22"/>
      <c r="C29" s="4">
        <v>43167</v>
      </c>
      <c r="D29" s="4"/>
      <c r="E29" s="4">
        <v>43455</v>
      </c>
      <c r="F29" s="5"/>
      <c r="G29" s="49"/>
      <c r="H29" s="5">
        <v>10.86</v>
      </c>
      <c r="I29" s="102">
        <f>9*25+25*13/30</f>
        <v>235.83333333333334</v>
      </c>
      <c r="J29" s="5"/>
      <c r="K29" s="5"/>
      <c r="L29" s="6">
        <v>90</v>
      </c>
      <c r="M29" s="61">
        <v>36</v>
      </c>
      <c r="N29" s="6">
        <f t="shared" si="0"/>
        <v>37.799999999999997</v>
      </c>
    </row>
    <row r="30" spans="1:15">
      <c r="A30" s="22" t="s">
        <v>57</v>
      </c>
      <c r="B30" s="55"/>
      <c r="C30" s="31">
        <v>43478</v>
      </c>
      <c r="D30" s="31"/>
      <c r="E30" s="4">
        <v>43536</v>
      </c>
      <c r="F30" s="5"/>
      <c r="G30" s="49"/>
      <c r="H30" s="5">
        <v>10.86</v>
      </c>
      <c r="I30" s="102">
        <v>25</v>
      </c>
      <c r="J30" s="5"/>
      <c r="K30" s="5"/>
      <c r="L30" s="6">
        <v>70</v>
      </c>
      <c r="M30" s="61">
        <v>25</v>
      </c>
      <c r="N30" s="6">
        <f t="shared" si="0"/>
        <v>31.499999999999996</v>
      </c>
    </row>
    <row r="31" spans="1:15">
      <c r="A31" s="22" t="s">
        <v>59</v>
      </c>
      <c r="B31" s="22"/>
      <c r="C31" s="4">
        <v>43528</v>
      </c>
      <c r="D31" s="4"/>
      <c r="E31" s="4">
        <v>43538</v>
      </c>
      <c r="F31" s="5"/>
      <c r="G31" s="49"/>
      <c r="H31" s="5">
        <v>14.92</v>
      </c>
      <c r="I31" s="102">
        <f>77/30*10</f>
        <v>25.666666666666668</v>
      </c>
      <c r="J31" s="5"/>
      <c r="K31" s="5"/>
      <c r="L31" s="6">
        <v>169</v>
      </c>
      <c r="M31" s="61">
        <f>64+11+2</f>
        <v>77</v>
      </c>
      <c r="N31" s="6">
        <f t="shared" si="0"/>
        <v>64.399999999999991</v>
      </c>
    </row>
    <row r="32" spans="1:15">
      <c r="A32" s="22" t="s">
        <v>58</v>
      </c>
      <c r="B32" s="22"/>
      <c r="C32" s="4">
        <v>43534</v>
      </c>
      <c r="D32" s="4"/>
      <c r="E32" s="4">
        <v>43542</v>
      </c>
      <c r="F32" s="5"/>
      <c r="G32" s="49"/>
      <c r="H32" s="5">
        <f>10.86*2</f>
        <v>21.72</v>
      </c>
      <c r="I32" s="102">
        <v>0</v>
      </c>
      <c r="J32" s="5"/>
      <c r="K32" s="5"/>
      <c r="L32" s="6">
        <v>60</v>
      </c>
      <c r="M32" s="61">
        <v>33</v>
      </c>
      <c r="N32" s="6">
        <v>18.899999999999999</v>
      </c>
    </row>
    <row r="33" spans="1:15">
      <c r="A33" s="22" t="s">
        <v>61</v>
      </c>
      <c r="B33" s="22"/>
      <c r="C33" s="4">
        <v>43482</v>
      </c>
      <c r="D33" s="4"/>
      <c r="E33" s="4">
        <v>43542</v>
      </c>
      <c r="F33" s="5"/>
      <c r="G33" s="49"/>
      <c r="H33" s="5">
        <v>11.1</v>
      </c>
      <c r="I33" s="102">
        <f>25*2</f>
        <v>50</v>
      </c>
      <c r="J33" s="5"/>
      <c r="K33" s="5"/>
      <c r="L33" s="6">
        <v>70</v>
      </c>
      <c r="M33" s="61">
        <v>26</v>
      </c>
      <c r="N33" s="6">
        <f t="shared" si="0"/>
        <v>30.799999999999997</v>
      </c>
    </row>
    <row r="34" spans="1:15">
      <c r="A34" s="22" t="s">
        <v>67</v>
      </c>
      <c r="B34" s="22"/>
      <c r="C34" s="4">
        <v>43600</v>
      </c>
      <c r="D34" s="4"/>
      <c r="E34" s="4">
        <v>43629</v>
      </c>
      <c r="F34" s="5"/>
      <c r="G34" s="49"/>
      <c r="H34" s="5">
        <f>10.86*2</f>
        <v>21.72</v>
      </c>
      <c r="I34" s="102">
        <f>22/30*58</f>
        <v>42.533333333333331</v>
      </c>
      <c r="J34" s="5">
        <v>50</v>
      </c>
      <c r="K34" s="5">
        <f>H34+I34+J34</f>
        <v>114.25333333333333</v>
      </c>
      <c r="L34" s="6">
        <v>60</v>
      </c>
      <c r="M34" s="61">
        <v>25</v>
      </c>
      <c r="N34" s="6">
        <v>0</v>
      </c>
    </row>
    <row r="35" spans="1:15">
      <c r="A35" s="22" t="s">
        <v>66</v>
      </c>
      <c r="B35" s="22"/>
      <c r="C35" s="4">
        <v>43600</v>
      </c>
      <c r="D35" s="4"/>
      <c r="E35" s="4">
        <v>43629</v>
      </c>
      <c r="F35" s="5"/>
      <c r="G35" s="49"/>
      <c r="H35" s="5">
        <f>10.86</f>
        <v>10.86</v>
      </c>
      <c r="I35" s="102">
        <f>39/30*58</f>
        <v>75.400000000000006</v>
      </c>
      <c r="J35" s="5"/>
      <c r="K35" s="5">
        <f>H35+I35</f>
        <v>86.26</v>
      </c>
      <c r="L35" s="6">
        <v>110</v>
      </c>
      <c r="M35" s="61">
        <f>25+11+3</f>
        <v>39</v>
      </c>
      <c r="N35" s="6">
        <v>0</v>
      </c>
      <c r="O35" t="s">
        <v>73</v>
      </c>
    </row>
    <row r="36" spans="1:15">
      <c r="A36" s="22" t="s">
        <v>64</v>
      </c>
      <c r="B36" s="22"/>
      <c r="C36" s="4">
        <v>43627</v>
      </c>
      <c r="D36" s="4"/>
      <c r="E36" s="4">
        <v>43629</v>
      </c>
      <c r="F36" s="5"/>
      <c r="G36" s="49"/>
      <c r="H36" s="5">
        <v>10.86</v>
      </c>
      <c r="I36" s="102">
        <f>25/30*2</f>
        <v>1.6666666666666667</v>
      </c>
      <c r="J36" s="5"/>
      <c r="K36" s="5">
        <f>H36+I36</f>
        <v>12.526666666666666</v>
      </c>
      <c r="L36" s="6">
        <v>200</v>
      </c>
      <c r="M36" s="61">
        <v>11</v>
      </c>
      <c r="N36" s="5">
        <f t="shared" ref="N36:N48" si="1">(L36-M36)*0.7</f>
        <v>132.29999999999998</v>
      </c>
    </row>
    <row r="37" spans="1:15">
      <c r="A37" s="22" t="s">
        <v>65</v>
      </c>
      <c r="B37" s="22"/>
      <c r="C37" s="4">
        <v>43622</v>
      </c>
      <c r="D37" s="4"/>
      <c r="E37" s="4">
        <v>43650</v>
      </c>
      <c r="F37" s="5"/>
      <c r="G37" s="49"/>
      <c r="H37" s="5">
        <v>10.86</v>
      </c>
      <c r="I37" s="102"/>
      <c r="J37" s="5"/>
      <c r="K37" s="5"/>
      <c r="L37" s="6">
        <v>120</v>
      </c>
      <c r="M37" s="61">
        <v>60</v>
      </c>
      <c r="N37" s="6">
        <f t="shared" si="1"/>
        <v>42</v>
      </c>
    </row>
    <row r="38" spans="1:15">
      <c r="A38" s="22" t="s">
        <v>71</v>
      </c>
      <c r="B38" s="22"/>
      <c r="C38" s="4">
        <v>43635</v>
      </c>
      <c r="D38" s="4"/>
      <c r="E38" s="4">
        <v>43662</v>
      </c>
      <c r="F38" s="5"/>
      <c r="G38" s="49"/>
      <c r="H38" s="5">
        <f>10.86*2</f>
        <v>21.72</v>
      </c>
      <c r="I38" s="102"/>
      <c r="J38" s="5"/>
      <c r="K38" s="5"/>
      <c r="L38" s="6">
        <v>70</v>
      </c>
      <c r="M38" s="61">
        <v>26</v>
      </c>
      <c r="N38" s="6">
        <f t="shared" si="1"/>
        <v>30.799999999999997</v>
      </c>
      <c r="O38" t="s">
        <v>72</v>
      </c>
    </row>
    <row r="39" spans="1:15">
      <c r="A39" s="2" t="s">
        <v>75</v>
      </c>
      <c r="B39" s="2"/>
      <c r="C39" s="4">
        <v>43656</v>
      </c>
      <c r="D39" s="4"/>
      <c r="E39" s="4">
        <v>43711</v>
      </c>
      <c r="F39" s="5"/>
      <c r="G39" s="49"/>
      <c r="H39" s="5">
        <v>10.86</v>
      </c>
      <c r="I39" s="102">
        <f>36/30*48</f>
        <v>57.599999999999994</v>
      </c>
      <c r="J39" s="5"/>
      <c r="K39" s="5"/>
      <c r="L39" s="6">
        <v>105</v>
      </c>
      <c r="M39" s="61">
        <v>36</v>
      </c>
      <c r="N39" s="6">
        <f t="shared" si="1"/>
        <v>48.3</v>
      </c>
    </row>
    <row r="40" spans="1:15">
      <c r="A40" s="2" t="s">
        <v>76</v>
      </c>
      <c r="B40" s="2"/>
      <c r="C40" s="4">
        <v>43677</v>
      </c>
      <c r="D40" s="4"/>
      <c r="E40" s="4">
        <v>43713</v>
      </c>
      <c r="F40" s="5"/>
      <c r="G40" s="49"/>
      <c r="H40" s="5">
        <v>24.06</v>
      </c>
      <c r="I40" s="102">
        <f>80/30*35</f>
        <v>93.333333333333329</v>
      </c>
      <c r="J40" s="5">
        <v>40</v>
      </c>
      <c r="K40" s="5"/>
      <c r="L40" s="6">
        <v>149</v>
      </c>
      <c r="M40" s="61">
        <v>80</v>
      </c>
      <c r="N40" s="6">
        <f t="shared" si="1"/>
        <v>48.3</v>
      </c>
      <c r="O40" t="s">
        <v>79</v>
      </c>
    </row>
    <row r="41" spans="1:15">
      <c r="A41" s="2" t="s">
        <v>81</v>
      </c>
      <c r="B41" s="2"/>
      <c r="C41" s="4">
        <v>43788</v>
      </c>
      <c r="D41" s="4"/>
      <c r="E41" s="4">
        <v>43865</v>
      </c>
      <c r="F41" s="5"/>
      <c r="G41" s="49"/>
      <c r="H41" s="5">
        <v>9.14</v>
      </c>
      <c r="I41" s="102">
        <f>25/30*45</f>
        <v>37.5</v>
      </c>
      <c r="J41" s="5"/>
      <c r="K41" s="5"/>
      <c r="L41" s="6">
        <v>90</v>
      </c>
      <c r="M41" s="61">
        <v>25</v>
      </c>
      <c r="N41" s="6">
        <f t="shared" si="1"/>
        <v>45.5</v>
      </c>
    </row>
    <row r="42" spans="1:15">
      <c r="A42" s="22" t="s">
        <v>87</v>
      </c>
      <c r="B42" s="22"/>
      <c r="C42" s="35">
        <v>43878</v>
      </c>
      <c r="D42" s="35"/>
      <c r="E42" s="35">
        <v>43892</v>
      </c>
      <c r="F42" s="5"/>
      <c r="G42" s="49"/>
      <c r="H42" s="5">
        <v>12.19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5">
      <c r="A43" s="22" t="s">
        <v>89</v>
      </c>
      <c r="B43" s="22"/>
      <c r="C43" s="35">
        <v>43908</v>
      </c>
      <c r="D43" s="35"/>
      <c r="E43" s="35">
        <v>43893</v>
      </c>
      <c r="F43" s="5"/>
      <c r="G43" s="49"/>
      <c r="H43" s="5">
        <v>9.6</v>
      </c>
      <c r="I43" s="102"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5">
      <c r="A44" s="22" t="s">
        <v>85</v>
      </c>
      <c r="B44" s="22"/>
      <c r="C44" s="35">
        <v>43881</v>
      </c>
      <c r="D44" s="35"/>
      <c r="E44" s="35">
        <v>43895</v>
      </c>
      <c r="F44" s="5"/>
      <c r="G44" s="49"/>
      <c r="H44" s="5">
        <v>9.14</v>
      </c>
      <c r="I44" s="102">
        <f>11/30*15</f>
        <v>5.5</v>
      </c>
      <c r="J44" s="5"/>
      <c r="K44" s="5"/>
      <c r="L44" s="6">
        <v>25</v>
      </c>
      <c r="M44" s="61">
        <v>11</v>
      </c>
      <c r="N44" s="6">
        <f t="shared" si="1"/>
        <v>9.7999999999999989</v>
      </c>
    </row>
    <row r="45" spans="1:15">
      <c r="A45" s="39" t="s">
        <v>82</v>
      </c>
      <c r="B45" s="28"/>
      <c r="C45" s="36">
        <v>40235</v>
      </c>
      <c r="D45" s="36"/>
      <c r="E45" s="36">
        <v>43901</v>
      </c>
      <c r="F45" s="5"/>
      <c r="G45" s="34"/>
      <c r="H45" s="37">
        <v>9.6</v>
      </c>
      <c r="I45" s="102">
        <f>11/2</f>
        <v>5.5</v>
      </c>
      <c r="J45" s="5"/>
      <c r="K45" s="5"/>
      <c r="L45" s="17">
        <v>25</v>
      </c>
      <c r="M45" s="63">
        <v>11</v>
      </c>
      <c r="N45" s="26">
        <f t="shared" si="1"/>
        <v>9.7999999999999989</v>
      </c>
    </row>
    <row r="46" spans="1:15">
      <c r="A46" s="22" t="s">
        <v>84</v>
      </c>
      <c r="B46" s="22"/>
      <c r="C46" s="35">
        <v>43889</v>
      </c>
      <c r="D46" s="35"/>
      <c r="E46" s="35">
        <v>43903</v>
      </c>
      <c r="F46" s="5"/>
      <c r="G46" s="49"/>
      <c r="H46" s="5">
        <v>9.14</v>
      </c>
      <c r="I46" s="102">
        <f>11/30*15</f>
        <v>5.5</v>
      </c>
      <c r="J46" s="5"/>
      <c r="K46" s="5"/>
      <c r="L46" s="6">
        <v>25</v>
      </c>
      <c r="M46" s="61">
        <v>11</v>
      </c>
      <c r="N46" s="6">
        <f t="shared" si="1"/>
        <v>9.7999999999999989</v>
      </c>
    </row>
    <row r="47" spans="1:15">
      <c r="A47" s="22" t="s">
        <v>80</v>
      </c>
      <c r="B47" s="22"/>
      <c r="C47" s="35">
        <v>43873</v>
      </c>
      <c r="D47" s="35"/>
      <c r="E47" s="35">
        <v>43910</v>
      </c>
      <c r="F47" s="5"/>
      <c r="G47" s="49"/>
      <c r="H47" s="5">
        <v>21.84</v>
      </c>
      <c r="I47" s="102">
        <f>56/30*38</f>
        <v>70.933333333333337</v>
      </c>
      <c r="J47" s="5"/>
      <c r="K47" s="5"/>
      <c r="L47" s="6">
        <v>120</v>
      </c>
      <c r="M47" s="61">
        <v>56</v>
      </c>
      <c r="N47" s="6">
        <f t="shared" si="1"/>
        <v>44.8</v>
      </c>
    </row>
    <row r="48" spans="1:15">
      <c r="A48" s="22" t="s">
        <v>88</v>
      </c>
      <c r="B48" s="22"/>
      <c r="C48" s="35">
        <v>43855</v>
      </c>
      <c r="D48" s="35"/>
      <c r="E48" s="35">
        <v>43941</v>
      </c>
      <c r="F48" s="5"/>
      <c r="G48" s="49"/>
      <c r="H48" s="5">
        <v>13.93</v>
      </c>
      <c r="I48" s="102">
        <f>56/30*85</f>
        <v>158.66666666666666</v>
      </c>
      <c r="J48" s="5"/>
      <c r="K48" s="5"/>
      <c r="L48" s="6">
        <v>110</v>
      </c>
      <c r="M48" s="61">
        <v>56</v>
      </c>
      <c r="N48" s="6">
        <f t="shared" si="1"/>
        <v>37.799999999999997</v>
      </c>
    </row>
    <row r="49" spans="1:16">
      <c r="A49" s="22" t="s">
        <v>90</v>
      </c>
      <c r="B49" s="22"/>
      <c r="C49" s="35" t="s">
        <v>96</v>
      </c>
      <c r="D49" s="35"/>
      <c r="E49" s="35">
        <v>44015</v>
      </c>
      <c r="F49" s="5" t="s">
        <v>160</v>
      </c>
      <c r="G49" s="49">
        <v>12.5</v>
      </c>
      <c r="H49" s="5">
        <v>11.29</v>
      </c>
      <c r="I49" s="102">
        <f>100</f>
        <v>100</v>
      </c>
      <c r="J49" s="5"/>
      <c r="K49" s="5"/>
      <c r="L49" s="6">
        <v>105</v>
      </c>
      <c r="M49" s="61">
        <f>25+11+22</f>
        <v>58</v>
      </c>
      <c r="N49" s="6">
        <f>12.5+(92.5-M49)*0.7</f>
        <v>36.65</v>
      </c>
      <c r="P49" s="41"/>
    </row>
    <row r="50" spans="1:16">
      <c r="A50" s="22" t="s">
        <v>97</v>
      </c>
      <c r="B50" s="22"/>
      <c r="C50" s="35">
        <v>43990</v>
      </c>
      <c r="D50" s="35"/>
      <c r="E50" s="35">
        <v>44036</v>
      </c>
      <c r="F50" s="5"/>
      <c r="G50" s="49"/>
      <c r="H50" s="5">
        <v>8.75</v>
      </c>
      <c r="I50" s="102">
        <f>56/30*46</f>
        <v>85.866666666666674</v>
      </c>
      <c r="J50" s="5"/>
      <c r="K50" s="5"/>
      <c r="L50" s="6">
        <v>110</v>
      </c>
      <c r="M50" s="61">
        <f>45+11</f>
        <v>56</v>
      </c>
      <c r="N50" s="6">
        <f>(L50-M50)*0.7</f>
        <v>37.799999999999997</v>
      </c>
    </row>
    <row r="51" spans="1:16">
      <c r="A51" s="22" t="s">
        <v>95</v>
      </c>
      <c r="B51" s="22"/>
      <c r="C51" s="35">
        <v>44028</v>
      </c>
      <c r="D51" s="35"/>
      <c r="E51" s="35">
        <v>44040</v>
      </c>
      <c r="F51" s="5"/>
      <c r="G51" s="49"/>
      <c r="H51" s="5">
        <v>8.75</v>
      </c>
      <c r="I51" s="102">
        <f>41/30*12</f>
        <v>16.399999999999999</v>
      </c>
      <c r="J51" s="5"/>
      <c r="K51" s="5"/>
      <c r="L51" s="6">
        <v>60</v>
      </c>
      <c r="M51" s="61">
        <v>41</v>
      </c>
      <c r="N51" s="6">
        <f>(L51-M51)*0.7</f>
        <v>13.299999999999999</v>
      </c>
    </row>
    <row r="52" spans="1:16">
      <c r="A52" s="22" t="s">
        <v>94</v>
      </c>
      <c r="B52" s="22"/>
      <c r="C52" s="35">
        <v>44011</v>
      </c>
      <c r="D52" s="35"/>
      <c r="E52" s="35">
        <v>44084</v>
      </c>
      <c r="F52" s="5"/>
      <c r="G52" s="49"/>
      <c r="H52" s="5">
        <v>11.29</v>
      </c>
      <c r="I52" s="102">
        <f>25/30*71</f>
        <v>59.166666666666671</v>
      </c>
      <c r="J52" s="5"/>
      <c r="K52" s="5"/>
      <c r="L52" s="6">
        <v>40</v>
      </c>
      <c r="M52" s="61">
        <v>25</v>
      </c>
      <c r="N52" s="6">
        <f>(L52-M52)*0.7</f>
        <v>10.5</v>
      </c>
    </row>
    <row r="53" spans="1:16">
      <c r="A53" s="2" t="s">
        <v>99</v>
      </c>
      <c r="B53" s="2"/>
      <c r="C53" s="35">
        <v>44084</v>
      </c>
      <c r="D53" s="35"/>
      <c r="E53" s="35">
        <v>44105</v>
      </c>
      <c r="F53" s="5" t="s">
        <v>160</v>
      </c>
      <c r="G53" s="49">
        <v>5</v>
      </c>
      <c r="H53" s="5">
        <v>12.24</v>
      </c>
      <c r="I53" s="102">
        <f>25/30*20</f>
        <v>16.666666666666668</v>
      </c>
      <c r="J53" s="5"/>
      <c r="K53" s="5"/>
      <c r="L53" s="43">
        <v>40</v>
      </c>
      <c r="M53" s="61">
        <v>22</v>
      </c>
      <c r="N53" s="6">
        <f>5+13*0.7</f>
        <v>14.1</v>
      </c>
      <c r="P53" s="41"/>
    </row>
    <row r="54" spans="1:16">
      <c r="A54" s="2" t="s">
        <v>102</v>
      </c>
      <c r="B54" s="2"/>
      <c r="C54" s="4" t="s">
        <v>103</v>
      </c>
      <c r="D54" s="4"/>
      <c r="E54" s="4">
        <v>44110</v>
      </c>
      <c r="F54" s="5" t="s">
        <v>160</v>
      </c>
      <c r="G54" s="49">
        <v>10</v>
      </c>
      <c r="H54" s="5">
        <v>36.65</v>
      </c>
      <c r="I54" s="102">
        <f>115/30*26</f>
        <v>99.666666666666671</v>
      </c>
      <c r="J54" s="5"/>
      <c r="K54" s="5"/>
      <c r="L54" s="6">
        <v>180</v>
      </c>
      <c r="M54" s="61">
        <v>115</v>
      </c>
      <c r="N54" s="6">
        <f>10+55*0.7</f>
        <v>48.5</v>
      </c>
      <c r="P54" s="41"/>
    </row>
    <row r="55" spans="1:16">
      <c r="A55" s="2" t="s">
        <v>94</v>
      </c>
      <c r="B55" s="2"/>
      <c r="C55" s="35">
        <v>44124</v>
      </c>
      <c r="D55" s="35"/>
      <c r="E55" s="35">
        <v>44124</v>
      </c>
      <c r="F55" s="5"/>
      <c r="G55" s="49"/>
      <c r="H55" s="5">
        <v>7.25</v>
      </c>
      <c r="I55" s="102">
        <v>0</v>
      </c>
      <c r="J55" s="5"/>
      <c r="K55" s="5"/>
      <c r="L55" s="6">
        <v>25</v>
      </c>
      <c r="M55" s="61">
        <v>11</v>
      </c>
      <c r="N55" s="6">
        <f>(L55-M55)*0.7</f>
        <v>9.7999999999999989</v>
      </c>
    </row>
    <row r="56" spans="1:16">
      <c r="A56" s="2" t="s">
        <v>100</v>
      </c>
      <c r="B56" s="2"/>
      <c r="C56" s="4">
        <v>44018</v>
      </c>
      <c r="D56" s="4"/>
      <c r="E56" s="4">
        <v>44124</v>
      </c>
      <c r="F56" s="40"/>
      <c r="G56" s="2"/>
      <c r="H56" s="5">
        <v>9.5</v>
      </c>
      <c r="I56" s="102">
        <f>25/30*104</f>
        <v>86.666666666666671</v>
      </c>
      <c r="J56" s="5"/>
      <c r="K56" s="5"/>
      <c r="L56" s="6">
        <v>70</v>
      </c>
      <c r="M56" s="61">
        <v>25</v>
      </c>
      <c r="N56" s="6">
        <f>(L56-M56)*0.7</f>
        <v>31.499999999999996</v>
      </c>
    </row>
    <row r="57" spans="1:16">
      <c r="A57" s="2" t="s">
        <v>101</v>
      </c>
      <c r="B57" s="2"/>
      <c r="C57" s="4">
        <v>44070</v>
      </c>
      <c r="D57" s="4"/>
      <c r="E57" s="4">
        <v>44131</v>
      </c>
      <c r="F57" s="40"/>
      <c r="G57" s="2"/>
      <c r="H57" s="5">
        <v>13.93</v>
      </c>
      <c r="I57" s="102">
        <f>71/30*60</f>
        <v>142</v>
      </c>
      <c r="J57" s="5"/>
      <c r="K57" s="5"/>
      <c r="L57" s="6">
        <v>120</v>
      </c>
      <c r="M57" s="61">
        <f>60+11</f>
        <v>71</v>
      </c>
      <c r="N57" s="6">
        <f>(L57-M57)*0.7</f>
        <v>34.299999999999997</v>
      </c>
    </row>
    <row r="58" spans="1:16">
      <c r="A58" s="22" t="s">
        <v>104</v>
      </c>
      <c r="B58" s="22"/>
      <c r="C58" s="4">
        <v>44159</v>
      </c>
      <c r="D58" s="4"/>
      <c r="E58" s="4">
        <v>44187</v>
      </c>
      <c r="F58" s="40"/>
      <c r="G58" s="2"/>
      <c r="H58" s="5">
        <v>13.93</v>
      </c>
      <c r="I58" s="102">
        <f>36/30*28</f>
        <v>33.6</v>
      </c>
      <c r="J58" s="5"/>
      <c r="K58" s="5"/>
      <c r="L58" s="6">
        <v>110</v>
      </c>
      <c r="M58" s="61">
        <f>25+11</f>
        <v>36</v>
      </c>
      <c r="N58" s="6">
        <f>(L58-M58)*0.7</f>
        <v>51.8</v>
      </c>
    </row>
    <row r="59" spans="1:16">
      <c r="A59" s="22" t="s">
        <v>120</v>
      </c>
      <c r="B59" s="22"/>
      <c r="C59" s="4">
        <v>44169</v>
      </c>
      <c r="D59" s="4"/>
      <c r="E59" s="4">
        <v>44208</v>
      </c>
      <c r="F59" s="5" t="s">
        <v>160</v>
      </c>
      <c r="G59" s="49">
        <v>10</v>
      </c>
      <c r="H59" s="5"/>
      <c r="I59" s="102">
        <f>41/30*38</f>
        <v>51.933333333333337</v>
      </c>
      <c r="J59" s="5"/>
      <c r="K59" s="5"/>
      <c r="L59" s="6">
        <v>70</v>
      </c>
      <c r="M59" s="61">
        <v>45</v>
      </c>
      <c r="N59" s="5">
        <f>10+(60-45)*0.7</f>
        <v>20.5</v>
      </c>
      <c r="O59" s="1" t="s">
        <v>145</v>
      </c>
    </row>
    <row r="60" spans="1:16">
      <c r="A60" s="22" t="s">
        <v>108</v>
      </c>
      <c r="B60" s="22"/>
      <c r="C60" s="4">
        <v>44185</v>
      </c>
      <c r="D60" s="4"/>
      <c r="E60" s="4">
        <v>44242</v>
      </c>
      <c r="F60" s="5" t="s">
        <v>160</v>
      </c>
      <c r="G60" s="49">
        <v>20</v>
      </c>
      <c r="H60" s="5">
        <v>26.48</v>
      </c>
      <c r="I60" s="102">
        <f>50/30*55</f>
        <v>91.666666666666671</v>
      </c>
      <c r="J60" s="5">
        <v>160</v>
      </c>
      <c r="K60" s="5"/>
      <c r="L60" s="6">
        <v>130</v>
      </c>
      <c r="M60" s="61">
        <v>34</v>
      </c>
      <c r="N60" s="5">
        <f>(20+(110-34)*0.7)</f>
        <v>73.199999999999989</v>
      </c>
      <c r="O60" s="1" t="s">
        <v>145</v>
      </c>
    </row>
    <row r="61" spans="1:16">
      <c r="A61" s="22" t="s">
        <v>109</v>
      </c>
      <c r="B61" s="22"/>
      <c r="C61" s="4">
        <v>44209</v>
      </c>
      <c r="D61" s="4"/>
      <c r="E61" s="4">
        <v>44250</v>
      </c>
      <c r="F61" s="5" t="s">
        <v>160</v>
      </c>
      <c r="G61" s="49">
        <v>22.5</v>
      </c>
      <c r="H61" s="5">
        <v>22.83</v>
      </c>
      <c r="I61" s="102">
        <f>100/30*40</f>
        <v>133.33333333333334</v>
      </c>
      <c r="J61" s="5">
        <v>125</v>
      </c>
      <c r="K61" s="5"/>
      <c r="L61" s="6">
        <v>210</v>
      </c>
      <c r="M61" s="61">
        <v>100</v>
      </c>
      <c r="N61" s="6">
        <f>(22.5+87.5*0.7)</f>
        <v>83.75</v>
      </c>
    </row>
    <row r="62" spans="1:16">
      <c r="A62" s="2" t="s">
        <v>113</v>
      </c>
      <c r="B62" s="2"/>
      <c r="C62" s="4">
        <v>44245</v>
      </c>
      <c r="D62" s="4"/>
      <c r="E62" s="4">
        <v>44271</v>
      </c>
      <c r="F62" s="5" t="s">
        <v>160</v>
      </c>
      <c r="G62" s="49">
        <v>15</v>
      </c>
      <c r="H62" s="5">
        <v>26.76</v>
      </c>
      <c r="I62" s="102">
        <f>67/30*28</f>
        <v>62.533333333333331</v>
      </c>
      <c r="J62" s="5"/>
      <c r="K62" s="5"/>
      <c r="L62" s="6">
        <v>140</v>
      </c>
      <c r="M62" s="61">
        <v>67</v>
      </c>
      <c r="N62" s="6">
        <f>(15+0.7*58)</f>
        <v>55.599999999999994</v>
      </c>
    </row>
    <row r="63" spans="1:16">
      <c r="A63" s="2" t="s">
        <v>114</v>
      </c>
      <c r="B63" s="2"/>
      <c r="C63" s="4">
        <v>44222</v>
      </c>
      <c r="D63" s="4"/>
      <c r="E63" s="4">
        <v>44279</v>
      </c>
      <c r="F63" s="5" t="s">
        <v>160</v>
      </c>
      <c r="G63" s="49">
        <v>12.5</v>
      </c>
      <c r="H63" s="5">
        <v>13.4</v>
      </c>
      <c r="I63" s="102">
        <f>56/30*58</f>
        <v>108.26666666666667</v>
      </c>
      <c r="J63" s="5">
        <v>100</v>
      </c>
      <c r="K63" s="5"/>
      <c r="L63" s="6">
        <v>140</v>
      </c>
      <c r="M63" s="61">
        <v>56</v>
      </c>
      <c r="N63" s="5">
        <f>(12.5+71.5*0.7)</f>
        <v>62.55</v>
      </c>
      <c r="O63" s="1" t="s">
        <v>145</v>
      </c>
    </row>
    <row r="64" spans="1:16">
      <c r="A64" s="2" t="s">
        <v>112</v>
      </c>
      <c r="B64" s="2"/>
      <c r="C64" s="4">
        <v>44270</v>
      </c>
      <c r="D64" s="4"/>
      <c r="E64" s="4">
        <v>44286</v>
      </c>
      <c r="F64" s="5" t="s">
        <v>160</v>
      </c>
      <c r="G64" s="49">
        <v>17.5</v>
      </c>
      <c r="H64" s="5">
        <v>31.96</v>
      </c>
      <c r="I64" s="102">
        <f>55/30*16</f>
        <v>29.333333333333332</v>
      </c>
      <c r="J64" s="5">
        <v>75</v>
      </c>
      <c r="K64" s="5"/>
      <c r="L64" s="6">
        <v>100</v>
      </c>
      <c r="M64" s="61">
        <v>55</v>
      </c>
      <c r="N64" s="6">
        <f>(17.5+27.5*0.7)</f>
        <v>36.75</v>
      </c>
    </row>
    <row r="65" spans="1:16">
      <c r="A65" s="22" t="s">
        <v>121</v>
      </c>
      <c r="B65" s="22"/>
      <c r="C65" s="4">
        <v>44316</v>
      </c>
      <c r="D65" s="4"/>
      <c r="E65" s="4">
        <v>44354</v>
      </c>
      <c r="F65" s="40"/>
      <c r="G65" s="2"/>
      <c r="H65" s="5">
        <v>15.15</v>
      </c>
      <c r="I65" s="102">
        <f>36/30*37</f>
        <v>44.4</v>
      </c>
      <c r="J65" s="5"/>
      <c r="K65" s="5"/>
      <c r="L65" s="6">
        <v>110</v>
      </c>
      <c r="M65" s="61">
        <v>36</v>
      </c>
      <c r="N65" s="5">
        <f>(L65-M65)*0.7</f>
        <v>51.8</v>
      </c>
      <c r="O65" s="1" t="s">
        <v>145</v>
      </c>
    </row>
    <row r="66" spans="1:16">
      <c r="A66" s="22" t="s">
        <v>126</v>
      </c>
      <c r="B66" s="22"/>
      <c r="C66" s="4">
        <v>44336</v>
      </c>
      <c r="D66" s="4"/>
      <c r="E66" s="4">
        <v>44370</v>
      </c>
      <c r="F66" s="5" t="s">
        <v>161</v>
      </c>
      <c r="G66" s="49">
        <v>17.5</v>
      </c>
      <c r="H66" s="5">
        <v>35.78</v>
      </c>
      <c r="I66" s="102">
        <f>58/30*33</f>
        <v>63.8</v>
      </c>
      <c r="J66" s="5">
        <v>50</v>
      </c>
      <c r="K66" s="5"/>
      <c r="L66" s="6">
        <v>150</v>
      </c>
      <c r="M66" s="61">
        <v>58</v>
      </c>
      <c r="N66" s="6">
        <f>(17.5+74.5*0.7)</f>
        <v>69.650000000000006</v>
      </c>
    </row>
    <row r="67" spans="1:16">
      <c r="A67" s="44" t="s">
        <v>125</v>
      </c>
      <c r="B67" s="44"/>
      <c r="C67" s="4">
        <v>44342</v>
      </c>
      <c r="D67" s="4"/>
      <c r="E67" s="4">
        <v>44386</v>
      </c>
      <c r="F67" s="5" t="s">
        <v>160</v>
      </c>
      <c r="G67" s="49">
        <v>12.5</v>
      </c>
      <c r="H67" s="5">
        <v>15.46</v>
      </c>
      <c r="I67" s="102">
        <f>36/30*43</f>
        <v>51.6</v>
      </c>
      <c r="J67" s="5">
        <f>50+45</f>
        <v>95</v>
      </c>
      <c r="K67" s="5"/>
      <c r="L67" s="6">
        <v>80</v>
      </c>
      <c r="M67" s="61">
        <v>33</v>
      </c>
      <c r="N67" s="6">
        <f>12.5+(L67-M67-12.5)*0.7</f>
        <v>36.65</v>
      </c>
    </row>
    <row r="68" spans="1:16">
      <c r="A68" s="44" t="s">
        <v>129</v>
      </c>
      <c r="B68" s="44"/>
      <c r="C68" s="4">
        <v>44348</v>
      </c>
      <c r="D68" s="4"/>
      <c r="E68" s="4">
        <v>44389</v>
      </c>
      <c r="F68" s="5" t="s">
        <v>160</v>
      </c>
      <c r="G68" s="49">
        <v>12.5</v>
      </c>
      <c r="H68" s="5">
        <v>26.22</v>
      </c>
      <c r="I68" s="102">
        <f>71/30*42</f>
        <v>99.4</v>
      </c>
      <c r="J68" s="5">
        <f>50+45</f>
        <v>95</v>
      </c>
      <c r="K68" s="5"/>
      <c r="L68" s="6">
        <v>140</v>
      </c>
      <c r="M68" s="61">
        <v>71</v>
      </c>
      <c r="N68" s="6">
        <f>(12.5+(127.5-71)*0.7)</f>
        <v>52.05</v>
      </c>
    </row>
    <row r="69" spans="1:16">
      <c r="A69" s="44" t="s">
        <v>124</v>
      </c>
      <c r="B69" s="44"/>
      <c r="C69" s="4">
        <v>44348</v>
      </c>
      <c r="D69" s="4"/>
      <c r="E69" s="4">
        <v>44389</v>
      </c>
      <c r="F69" s="40"/>
      <c r="G69" s="2"/>
      <c r="H69" s="5">
        <v>11.62</v>
      </c>
      <c r="I69" s="102">
        <f>26/30*42</f>
        <v>36.4</v>
      </c>
      <c r="J69" s="5">
        <v>65</v>
      </c>
      <c r="K69" s="5"/>
      <c r="L69" s="6">
        <v>70</v>
      </c>
      <c r="M69" s="61">
        <v>26</v>
      </c>
      <c r="N69" s="6">
        <f>(70-26)*0.7</f>
        <v>30.799999999999997</v>
      </c>
    </row>
    <row r="70" spans="1:16">
      <c r="A70" s="44" t="s">
        <v>132</v>
      </c>
      <c r="B70" s="44"/>
      <c r="C70" s="4">
        <v>44407</v>
      </c>
      <c r="D70" s="4"/>
      <c r="E70" s="4">
        <v>44461</v>
      </c>
      <c r="F70" s="40"/>
      <c r="G70" s="2"/>
      <c r="H70" s="5">
        <v>9.8800000000000008</v>
      </c>
      <c r="I70" s="102">
        <f>25/30*52</f>
        <v>43.333333333333336</v>
      </c>
      <c r="J70" s="5"/>
      <c r="K70" s="5"/>
      <c r="L70" s="6">
        <v>40</v>
      </c>
      <c r="M70" s="61">
        <v>25</v>
      </c>
      <c r="N70" s="6">
        <f>(L70-M70)*0.7</f>
        <v>10.5</v>
      </c>
    </row>
    <row r="71" spans="1:16">
      <c r="A71" s="44" t="s">
        <v>133</v>
      </c>
      <c r="B71" s="44"/>
      <c r="C71" s="4">
        <v>44432</v>
      </c>
      <c r="D71" s="4"/>
      <c r="E71" s="4">
        <v>44467</v>
      </c>
      <c r="F71" s="40"/>
      <c r="G71" s="2"/>
      <c r="H71" s="5">
        <v>9.8800000000000008</v>
      </c>
      <c r="I71" s="102">
        <f>25/30*34</f>
        <v>28.333333333333336</v>
      </c>
      <c r="J71" s="5"/>
      <c r="K71" s="5"/>
      <c r="L71" s="6">
        <v>40</v>
      </c>
      <c r="M71" s="61">
        <v>25</v>
      </c>
      <c r="N71" s="6">
        <f>(L71-M71)*0.7</f>
        <v>10.5</v>
      </c>
    </row>
    <row r="72" spans="1:16">
      <c r="A72" s="52" t="s">
        <v>141</v>
      </c>
      <c r="B72" s="52"/>
      <c r="C72" s="57">
        <v>44459</v>
      </c>
      <c r="D72" s="57"/>
      <c r="E72" s="57">
        <v>44481</v>
      </c>
      <c r="F72" s="10" t="s">
        <v>161</v>
      </c>
      <c r="G72" s="12">
        <v>10</v>
      </c>
      <c r="H72" s="25">
        <v>15.15</v>
      </c>
      <c r="I72" s="103">
        <f>46/30*22</f>
        <v>33.733333333333334</v>
      </c>
      <c r="J72" s="25">
        <v>80</v>
      </c>
      <c r="K72" s="25"/>
      <c r="L72" s="27">
        <v>120</v>
      </c>
      <c r="M72" s="64">
        <v>46</v>
      </c>
      <c r="N72" s="27">
        <f>10+(120-56)*0.7</f>
        <v>54.8</v>
      </c>
    </row>
    <row r="73" spans="1:16">
      <c r="A73" s="52" t="s">
        <v>140</v>
      </c>
      <c r="B73" s="52"/>
      <c r="C73" s="57">
        <v>44449</v>
      </c>
      <c r="D73" s="57"/>
      <c r="E73" s="57">
        <v>44482</v>
      </c>
      <c r="F73" s="25" t="s">
        <v>160</v>
      </c>
      <c r="G73" s="58">
        <v>10</v>
      </c>
      <c r="H73" s="25">
        <v>13.4</v>
      </c>
      <c r="I73" s="103">
        <f>60/30*33</f>
        <v>66</v>
      </c>
      <c r="J73" s="25">
        <v>80</v>
      </c>
      <c r="K73" s="25"/>
      <c r="L73" s="27">
        <v>120</v>
      </c>
      <c r="M73" s="64">
        <v>61</v>
      </c>
      <c r="N73" s="27">
        <f>(10+49*0.7)</f>
        <v>44.3</v>
      </c>
    </row>
    <row r="74" spans="1:16">
      <c r="A74" s="44" t="s">
        <v>137</v>
      </c>
      <c r="B74" s="44"/>
      <c r="C74" s="35">
        <v>44474</v>
      </c>
      <c r="D74" s="35"/>
      <c r="E74" s="35">
        <v>44487</v>
      </c>
      <c r="F74" s="10" t="s">
        <v>161</v>
      </c>
      <c r="G74" s="12">
        <v>12.5</v>
      </c>
      <c r="H74" s="5">
        <v>15.15</v>
      </c>
      <c r="I74" s="102">
        <f>71/30*13</f>
        <v>30.766666666666666</v>
      </c>
      <c r="J74" s="5">
        <v>95</v>
      </c>
      <c r="K74" s="5"/>
      <c r="L74" s="6">
        <v>140</v>
      </c>
      <c r="M74" s="61">
        <v>71</v>
      </c>
      <c r="N74" s="6">
        <f>12.5+(56.5)*0.7</f>
        <v>52.05</v>
      </c>
    </row>
    <row r="75" spans="1:16">
      <c r="A75" s="44" t="s">
        <v>143</v>
      </c>
      <c r="B75" s="44"/>
      <c r="C75" s="35">
        <v>43717</v>
      </c>
      <c r="D75" s="35"/>
      <c r="E75" s="35">
        <v>44505</v>
      </c>
      <c r="F75" s="40"/>
      <c r="G75" s="49"/>
      <c r="H75" s="5">
        <v>13.4</v>
      </c>
      <c r="I75" s="102">
        <f>36*25+36/30*26</f>
        <v>931.2</v>
      </c>
      <c r="J75" s="5"/>
      <c r="K75" s="5"/>
      <c r="L75" s="6">
        <v>100</v>
      </c>
      <c r="M75" s="61">
        <v>36</v>
      </c>
      <c r="N75" s="6">
        <f>(100-36)*0.7</f>
        <v>44.8</v>
      </c>
    </row>
    <row r="76" spans="1:16">
      <c r="A76" s="44" t="s">
        <v>139</v>
      </c>
      <c r="B76" s="44"/>
      <c r="C76" s="35">
        <v>44492</v>
      </c>
      <c r="D76" s="35"/>
      <c r="E76" s="35">
        <v>44539</v>
      </c>
      <c r="F76" s="40"/>
      <c r="G76" s="49"/>
      <c r="H76" s="5">
        <v>16.350000000000001</v>
      </c>
      <c r="I76" s="102">
        <f>71/30*46</f>
        <v>108.86666666666667</v>
      </c>
      <c r="J76" s="5">
        <v>95</v>
      </c>
      <c r="K76" s="5"/>
      <c r="L76" s="6">
        <v>140</v>
      </c>
      <c r="M76" s="61">
        <v>71</v>
      </c>
      <c r="N76" s="12">
        <f>(140-71)*0.7</f>
        <v>48.3</v>
      </c>
      <c r="O76" s="72" t="s">
        <v>329</v>
      </c>
      <c r="P76" s="72">
        <v>33.81</v>
      </c>
    </row>
    <row r="77" spans="1:16">
      <c r="A77" s="44" t="s">
        <v>144</v>
      </c>
      <c r="B77" s="44"/>
      <c r="C77" s="35">
        <v>44526</v>
      </c>
      <c r="D77" s="35"/>
      <c r="E77" s="35">
        <v>44550</v>
      </c>
      <c r="F77" s="5" t="s">
        <v>160</v>
      </c>
      <c r="G77" s="49">
        <v>12.5</v>
      </c>
      <c r="H77" s="5">
        <v>13.4</v>
      </c>
      <c r="I77" s="102">
        <f>83/30*24</f>
        <v>66.400000000000006</v>
      </c>
      <c r="J77" s="5"/>
      <c r="K77" s="5"/>
      <c r="L77" s="6">
        <v>140</v>
      </c>
      <c r="M77" s="61">
        <v>94</v>
      </c>
      <c r="N77" s="6">
        <f>12.5+(140-12.5-94)*0.7</f>
        <v>35.950000000000003</v>
      </c>
    </row>
    <row r="78" spans="1:16">
      <c r="A78" s="44" t="s">
        <v>149</v>
      </c>
      <c r="B78" s="44"/>
      <c r="C78" s="35">
        <v>44880</v>
      </c>
      <c r="D78" s="35"/>
      <c r="E78" s="35">
        <v>44575</v>
      </c>
      <c r="F78" s="40"/>
      <c r="G78" s="49"/>
      <c r="H78" s="5">
        <v>13.4</v>
      </c>
      <c r="I78" s="102"/>
      <c r="J78" s="5">
        <v>50</v>
      </c>
      <c r="K78" s="5"/>
      <c r="L78" s="6">
        <v>160</v>
      </c>
      <c r="M78" s="61">
        <f>71+9</f>
        <v>80</v>
      </c>
      <c r="N78" s="6">
        <f>(160-80)*0.7</f>
        <v>56</v>
      </c>
    </row>
    <row r="79" spans="1:16">
      <c r="A79" s="44" t="s">
        <v>146</v>
      </c>
      <c r="B79" s="44"/>
      <c r="C79" s="4">
        <v>44586</v>
      </c>
      <c r="D79" s="4"/>
      <c r="E79" s="4">
        <v>44615</v>
      </c>
      <c r="F79" s="10" t="s">
        <v>161</v>
      </c>
      <c r="G79" s="12">
        <v>12.5</v>
      </c>
      <c r="H79" s="5">
        <v>15.46</v>
      </c>
      <c r="I79" s="102">
        <f>27/30*28</f>
        <v>25.2</v>
      </c>
      <c r="J79" s="5">
        <v>110</v>
      </c>
      <c r="K79" s="5"/>
      <c r="L79" s="6">
        <v>154</v>
      </c>
      <c r="M79" s="61">
        <v>62</v>
      </c>
      <c r="N79" s="6">
        <f>12.5+(154-12.5-62)*0.7</f>
        <v>68.150000000000006</v>
      </c>
    </row>
    <row r="80" spans="1:16">
      <c r="A80" s="44" t="s">
        <v>148</v>
      </c>
      <c r="B80" s="44"/>
      <c r="C80" s="4">
        <v>44579</v>
      </c>
      <c r="D80" s="4"/>
      <c r="E80" s="4">
        <v>44594</v>
      </c>
      <c r="F80" s="40"/>
      <c r="G80" s="49"/>
      <c r="H80" s="5">
        <v>13.4</v>
      </c>
      <c r="I80" s="102">
        <f>22/30*14</f>
        <v>10.266666666666666</v>
      </c>
      <c r="J80" s="5">
        <v>30</v>
      </c>
      <c r="K80" s="5"/>
      <c r="L80" s="6">
        <v>50</v>
      </c>
      <c r="M80" s="61">
        <v>22</v>
      </c>
      <c r="N80" s="6">
        <f>(50-22)*0.7</f>
        <v>19.599999999999998</v>
      </c>
    </row>
    <row r="81" spans="1:14">
      <c r="A81" s="44" t="s">
        <v>150</v>
      </c>
      <c r="B81" s="44"/>
      <c r="C81" s="4">
        <v>44899</v>
      </c>
      <c r="D81" s="4"/>
      <c r="E81" s="4">
        <v>44607</v>
      </c>
      <c r="F81" s="12" t="s">
        <v>160</v>
      </c>
      <c r="G81" s="12">
        <v>12.5</v>
      </c>
      <c r="H81" s="5">
        <v>13.4</v>
      </c>
      <c r="I81" s="102">
        <f>71/30*61</f>
        <v>144.36666666666667</v>
      </c>
      <c r="J81" s="5">
        <v>80</v>
      </c>
      <c r="K81" s="5"/>
      <c r="L81" s="6">
        <v>120</v>
      </c>
      <c r="M81" s="61">
        <v>60</v>
      </c>
      <c r="N81" s="6">
        <f>12.5+(120-72.5)*0.7</f>
        <v>45.75</v>
      </c>
    </row>
    <row r="82" spans="1:14">
      <c r="A82" s="44" t="s">
        <v>151</v>
      </c>
      <c r="B82" s="44"/>
      <c r="C82" s="4">
        <v>44926</v>
      </c>
      <c r="D82" s="4"/>
      <c r="E82" s="4">
        <v>44649</v>
      </c>
      <c r="F82" s="40"/>
      <c r="G82" s="40"/>
      <c r="H82" s="5">
        <v>9.0299999999999994</v>
      </c>
      <c r="I82" s="102">
        <f>25*2+25/30*29</f>
        <v>74.166666666666671</v>
      </c>
      <c r="J82" s="5">
        <v>80</v>
      </c>
      <c r="K82" s="5"/>
      <c r="L82" s="6">
        <v>67.5</v>
      </c>
      <c r="M82" s="61">
        <v>25</v>
      </c>
      <c r="N82" s="6">
        <f>(67.5-25)*0.7</f>
        <v>29.749999999999996</v>
      </c>
    </row>
    <row r="83" spans="1:14">
      <c r="A83" s="44" t="s">
        <v>152</v>
      </c>
      <c r="B83" s="44"/>
      <c r="C83" s="4">
        <v>44852</v>
      </c>
      <c r="D83" s="4"/>
      <c r="E83" s="4">
        <v>44649</v>
      </c>
      <c r="F83" s="40"/>
      <c r="G83" s="40"/>
      <c r="H83" s="5">
        <v>9.0299999999999994</v>
      </c>
      <c r="I83" s="102">
        <f>45*4+45/30*13</f>
        <v>199.5</v>
      </c>
      <c r="J83" s="5">
        <v>80</v>
      </c>
      <c r="K83" s="5"/>
      <c r="L83" s="6">
        <v>67.5</v>
      </c>
      <c r="M83" s="61">
        <v>45</v>
      </c>
      <c r="N83" s="6">
        <f>(L83-M83)*0.7</f>
        <v>15.749999999999998</v>
      </c>
    </row>
    <row r="84" spans="1:14">
      <c r="A84" s="44" t="s">
        <v>153</v>
      </c>
      <c r="B84" s="44"/>
      <c r="C84" s="4">
        <v>44623</v>
      </c>
      <c r="D84" s="4"/>
      <c r="E84" s="4">
        <v>44623</v>
      </c>
      <c r="F84" s="40"/>
      <c r="G84" s="40"/>
      <c r="H84" s="5">
        <v>11.03</v>
      </c>
      <c r="I84" s="102">
        <v>0</v>
      </c>
      <c r="J84" s="5">
        <v>15</v>
      </c>
      <c r="K84" s="5"/>
      <c r="L84" s="6">
        <v>30</v>
      </c>
      <c r="M84" s="61">
        <v>12</v>
      </c>
      <c r="N84" s="6">
        <f>(L84-M84)*0.7</f>
        <v>12.6</v>
      </c>
    </row>
    <row r="85" spans="1:14">
      <c r="A85" s="44" t="s">
        <v>154</v>
      </c>
      <c r="B85" s="44"/>
      <c r="C85" s="4">
        <v>44881</v>
      </c>
      <c r="D85" s="4"/>
      <c r="E85" s="4">
        <v>44628</v>
      </c>
      <c r="F85" s="40"/>
      <c r="G85" s="40"/>
      <c r="H85" s="5">
        <v>9.0299999999999994</v>
      </c>
      <c r="I85" s="102">
        <f>65*3+65/30*22</f>
        <v>242.66666666666666</v>
      </c>
      <c r="J85" s="5">
        <v>95</v>
      </c>
      <c r="K85" s="5"/>
      <c r="L85" s="6">
        <v>112</v>
      </c>
      <c r="M85" s="61">
        <v>65</v>
      </c>
      <c r="N85" s="6">
        <f>(L85-M85)*0.7</f>
        <v>32.9</v>
      </c>
    </row>
    <row r="86" spans="1:14">
      <c r="A86" s="44" t="s">
        <v>155</v>
      </c>
      <c r="B86" s="44"/>
      <c r="C86" s="4">
        <v>44490</v>
      </c>
      <c r="D86" s="4"/>
      <c r="E86" s="4">
        <v>44648</v>
      </c>
      <c r="F86" s="40"/>
      <c r="G86" s="40"/>
      <c r="H86" s="5">
        <v>13.4</v>
      </c>
      <c r="I86" s="102">
        <f>45*5+45/30*7</f>
        <v>235.5</v>
      </c>
      <c r="J86" s="5">
        <v>80</v>
      </c>
      <c r="K86" s="5"/>
      <c r="L86" s="6">
        <v>67.5</v>
      </c>
      <c r="M86" s="61">
        <v>45</v>
      </c>
      <c r="N86" s="6">
        <f>(L86-M86)*0.7</f>
        <v>15.749999999999998</v>
      </c>
    </row>
    <row r="87" spans="1:14">
      <c r="A87" s="44" t="s">
        <v>156</v>
      </c>
      <c r="B87" s="44"/>
      <c r="C87" s="4">
        <v>44489</v>
      </c>
      <c r="D87" s="4"/>
      <c r="E87" s="4">
        <v>44651</v>
      </c>
      <c r="F87" s="40"/>
      <c r="G87" s="40"/>
      <c r="H87" s="5">
        <v>15.46</v>
      </c>
      <c r="I87" s="102">
        <f>50*5+50/10</f>
        <v>255</v>
      </c>
      <c r="J87" s="5">
        <v>145</v>
      </c>
      <c r="K87" s="5"/>
      <c r="L87" s="6">
        <v>125</v>
      </c>
      <c r="M87" s="61">
        <v>50</v>
      </c>
      <c r="N87" s="6">
        <f>(L87-M87)*0.7</f>
        <v>52.5</v>
      </c>
    </row>
    <row r="88" spans="1:14">
      <c r="A88" s="44" t="s">
        <v>157</v>
      </c>
      <c r="B88" s="44"/>
      <c r="C88" s="4">
        <v>44627</v>
      </c>
      <c r="D88" s="4"/>
      <c r="E88" s="4">
        <v>44627</v>
      </c>
      <c r="F88" s="10" t="s">
        <v>161</v>
      </c>
      <c r="G88" s="12">
        <v>10</v>
      </c>
      <c r="H88" s="5">
        <v>15.46</v>
      </c>
      <c r="I88" s="102">
        <v>0</v>
      </c>
      <c r="J88" s="5">
        <v>0</v>
      </c>
      <c r="K88" s="5"/>
      <c r="L88" s="6">
        <v>100</v>
      </c>
      <c r="M88" s="61">
        <v>44</v>
      </c>
      <c r="N88" s="6">
        <f>10+(46)*0.7</f>
        <v>42.199999999999996</v>
      </c>
    </row>
    <row r="89" spans="1:14">
      <c r="A89" s="44" t="s">
        <v>158</v>
      </c>
      <c r="B89" s="44"/>
      <c r="C89" s="4">
        <v>44627</v>
      </c>
      <c r="D89" s="4"/>
      <c r="E89" s="4">
        <v>44627</v>
      </c>
      <c r="F89" s="10" t="s">
        <v>161</v>
      </c>
      <c r="G89" s="12">
        <v>12.5</v>
      </c>
      <c r="H89" s="5">
        <v>15.46</v>
      </c>
      <c r="I89" s="102">
        <v>0</v>
      </c>
      <c r="J89" s="5">
        <v>0</v>
      </c>
      <c r="K89" s="5"/>
      <c r="L89" s="6">
        <v>125</v>
      </c>
      <c r="M89" s="61">
        <v>55</v>
      </c>
      <c r="N89" s="6">
        <f>12.5+(57.5)*0.7</f>
        <v>52.75</v>
      </c>
    </row>
    <row r="90" spans="1:14">
      <c r="A90" s="44" t="s">
        <v>171</v>
      </c>
      <c r="B90" s="44"/>
      <c r="C90" s="4">
        <v>44648</v>
      </c>
      <c r="D90" s="4"/>
      <c r="E90" s="4">
        <v>44734</v>
      </c>
      <c r="F90" s="40"/>
      <c r="G90" s="5"/>
      <c r="H90" s="5">
        <v>13.72</v>
      </c>
      <c r="I90" s="102">
        <f>56/30*84</f>
        <v>156.80000000000001</v>
      </c>
      <c r="J90" s="5">
        <v>95</v>
      </c>
      <c r="K90" s="5"/>
      <c r="L90" s="6">
        <v>140</v>
      </c>
      <c r="M90" s="61">
        <v>56</v>
      </c>
      <c r="N90" s="6">
        <f>(140-56)*0.7</f>
        <v>58.8</v>
      </c>
    </row>
    <row r="91" spans="1:14">
      <c r="A91" s="44" t="s">
        <v>172</v>
      </c>
      <c r="B91" s="44"/>
      <c r="C91" s="4">
        <v>44705</v>
      </c>
      <c r="D91" s="4"/>
      <c r="E91" s="4">
        <v>44715</v>
      </c>
      <c r="F91" s="40"/>
      <c r="G91" s="5"/>
      <c r="H91" s="5">
        <v>10.039999999999999</v>
      </c>
      <c r="I91" s="102">
        <f>25/30*9</f>
        <v>7.5</v>
      </c>
      <c r="J91" s="5"/>
      <c r="K91" s="5"/>
      <c r="L91" s="6">
        <v>50</v>
      </c>
      <c r="M91" s="61">
        <v>25</v>
      </c>
      <c r="N91" s="6">
        <f>(50-25)*0.7</f>
        <v>17.5</v>
      </c>
    </row>
    <row r="92" spans="1:14">
      <c r="A92" s="44" t="s">
        <v>173</v>
      </c>
      <c r="B92" s="44"/>
      <c r="C92" s="4">
        <v>44704</v>
      </c>
      <c r="D92" s="4"/>
      <c r="E92" s="4">
        <v>44721</v>
      </c>
      <c r="F92" s="10" t="s">
        <v>161</v>
      </c>
      <c r="G92" s="56">
        <v>12.5</v>
      </c>
      <c r="H92" s="5">
        <v>13.72</v>
      </c>
      <c r="I92" s="102">
        <f>37/30*16</f>
        <v>19.733333333333334</v>
      </c>
      <c r="J92" s="5">
        <f>50+45</f>
        <v>95</v>
      </c>
      <c r="K92" s="5"/>
      <c r="L92" s="6">
        <v>110</v>
      </c>
      <c r="M92" s="61">
        <v>37</v>
      </c>
      <c r="N92" s="56">
        <f>12.5+(97.5-37)*0.7</f>
        <v>54.849999999999994</v>
      </c>
    </row>
    <row r="93" spans="1:14">
      <c r="A93" s="44" t="s">
        <v>174</v>
      </c>
      <c r="B93" s="44"/>
      <c r="C93" s="4">
        <v>44715</v>
      </c>
      <c r="D93" s="4"/>
      <c r="E93" s="4">
        <v>44820</v>
      </c>
      <c r="F93" s="10" t="s">
        <v>161</v>
      </c>
      <c r="G93" s="56">
        <v>15</v>
      </c>
      <c r="H93" s="5">
        <v>14.6</v>
      </c>
      <c r="I93" s="102">
        <f>56/30*103</f>
        <v>192.26666666666668</v>
      </c>
      <c r="J93" s="5">
        <v>50</v>
      </c>
      <c r="K93" s="5"/>
      <c r="L93" s="6">
        <f>130</f>
        <v>130</v>
      </c>
      <c r="M93" s="61">
        <v>56</v>
      </c>
      <c r="N93" s="56">
        <f>15+(115-56)*0.7</f>
        <v>56.3</v>
      </c>
    </row>
    <row r="94" spans="1:14">
      <c r="A94" s="44" t="s">
        <v>183</v>
      </c>
      <c r="B94" s="44"/>
      <c r="C94" s="4">
        <v>44749</v>
      </c>
      <c r="D94" s="4">
        <v>44830</v>
      </c>
      <c r="E94" s="4">
        <v>44858</v>
      </c>
      <c r="F94" s="40"/>
      <c r="G94" s="5"/>
      <c r="H94" s="5">
        <v>11.03</v>
      </c>
      <c r="I94" s="102">
        <v>25</v>
      </c>
      <c r="J94" s="5">
        <v>15</v>
      </c>
      <c r="K94" s="5"/>
      <c r="L94" s="6">
        <v>80</v>
      </c>
      <c r="M94" s="61">
        <v>25</v>
      </c>
      <c r="N94" s="6">
        <f>55*0.7</f>
        <v>38.5</v>
      </c>
    </row>
    <row r="95" spans="1:14">
      <c r="A95" s="44" t="s">
        <v>184</v>
      </c>
      <c r="B95" s="44"/>
      <c r="C95" s="4">
        <v>44775</v>
      </c>
      <c r="D95" s="4">
        <v>44810</v>
      </c>
      <c r="E95" s="4">
        <v>44848</v>
      </c>
      <c r="F95" s="40"/>
      <c r="G95" s="5"/>
      <c r="H95" s="5">
        <v>23.38</v>
      </c>
      <c r="I95" s="102">
        <f>100/30*38</f>
        <v>126.66666666666667</v>
      </c>
      <c r="J95" s="5">
        <v>155</v>
      </c>
      <c r="K95" s="5"/>
      <c r="L95" s="6">
        <v>220</v>
      </c>
      <c r="M95" s="61">
        <v>100</v>
      </c>
      <c r="N95" s="6">
        <v>90.75</v>
      </c>
    </row>
    <row r="96" spans="1:14">
      <c r="A96" s="44" t="s">
        <v>185</v>
      </c>
      <c r="B96" s="44"/>
      <c r="C96" s="4">
        <v>44830</v>
      </c>
      <c r="D96" s="4">
        <v>44852</v>
      </c>
      <c r="E96" s="4">
        <v>44858</v>
      </c>
      <c r="F96" s="10" t="s">
        <v>161</v>
      </c>
      <c r="G96" s="12">
        <v>15</v>
      </c>
      <c r="H96" s="5">
        <v>23.38</v>
      </c>
      <c r="I96" s="102">
        <f>54.5/30*6</f>
        <v>10.9</v>
      </c>
      <c r="J96" s="5">
        <v>95</v>
      </c>
      <c r="K96" s="5"/>
      <c r="L96" s="6">
        <v>160</v>
      </c>
      <c r="M96" s="61">
        <v>64.5</v>
      </c>
      <c r="N96" s="6">
        <f>15+(145-64.5)*0.7</f>
        <v>71.349999999999994</v>
      </c>
    </row>
    <row r="97" spans="1:16">
      <c r="A97" s="44" t="s">
        <v>190</v>
      </c>
      <c r="B97" s="44"/>
      <c r="C97" s="4"/>
      <c r="D97" s="4">
        <v>44879</v>
      </c>
      <c r="E97" s="35">
        <v>44887</v>
      </c>
      <c r="F97" s="44" t="s">
        <v>161</v>
      </c>
      <c r="G97" s="56">
        <v>10</v>
      </c>
      <c r="H97" s="5">
        <v>14.6</v>
      </c>
      <c r="I97" s="102">
        <f>34/30*8</f>
        <v>9.0666666666666664</v>
      </c>
      <c r="J97" s="5">
        <v>45</v>
      </c>
      <c r="K97" s="5"/>
      <c r="L97" s="6">
        <v>90</v>
      </c>
      <c r="M97" s="61">
        <v>34</v>
      </c>
      <c r="N97" s="56">
        <f>10+(80-34)*0.7</f>
        <v>42.199999999999996</v>
      </c>
    </row>
    <row r="98" spans="1:16">
      <c r="A98" s="44" t="s">
        <v>193</v>
      </c>
      <c r="B98" s="44"/>
      <c r="C98" s="4">
        <v>44872</v>
      </c>
      <c r="D98" s="4">
        <v>44879</v>
      </c>
      <c r="E98" s="35">
        <v>44882</v>
      </c>
      <c r="F98" s="40"/>
      <c r="G98" s="5"/>
      <c r="H98" s="5">
        <v>10.039999999999999</v>
      </c>
      <c r="I98" s="102">
        <f>25/30*3</f>
        <v>2.5</v>
      </c>
      <c r="J98" s="5"/>
      <c r="K98" s="5"/>
      <c r="L98" s="6">
        <v>40</v>
      </c>
      <c r="M98" s="61">
        <v>25</v>
      </c>
      <c r="N98" s="6">
        <f>(L98-M98)*0.7</f>
        <v>10.5</v>
      </c>
    </row>
    <row r="99" spans="1:16">
      <c r="A99" s="44" t="s">
        <v>213</v>
      </c>
      <c r="B99" s="44"/>
      <c r="C99" s="4">
        <v>44894</v>
      </c>
      <c r="D99" s="4">
        <v>44908</v>
      </c>
      <c r="E99" s="35">
        <v>44944</v>
      </c>
      <c r="F99" s="40" t="s">
        <v>161</v>
      </c>
      <c r="G99" s="5">
        <v>15</v>
      </c>
      <c r="H99" s="5">
        <v>31.72</v>
      </c>
      <c r="I99" s="102">
        <f>50/30*35</f>
        <v>58.333333333333336</v>
      </c>
      <c r="J99" s="5">
        <f>60+50</f>
        <v>110</v>
      </c>
      <c r="K99" s="5"/>
      <c r="L99" s="6">
        <v>130</v>
      </c>
      <c r="M99" s="61">
        <f>19+2+3.5*2+11*2</f>
        <v>50</v>
      </c>
      <c r="N99" s="94">
        <f>15+(L99-M99-15)*0.7</f>
        <v>60.5</v>
      </c>
    </row>
    <row r="100" spans="1:16">
      <c r="A100" s="44" t="s">
        <v>227</v>
      </c>
      <c r="B100" s="44"/>
      <c r="C100" s="4">
        <v>44949</v>
      </c>
      <c r="D100" s="4">
        <v>44953</v>
      </c>
      <c r="E100" s="35">
        <v>44966</v>
      </c>
      <c r="F100" s="40" t="s">
        <v>160</v>
      </c>
      <c r="G100" s="5">
        <v>15</v>
      </c>
      <c r="H100" s="5">
        <v>16.38</v>
      </c>
      <c r="I100" s="102">
        <f>61.5/30*12</f>
        <v>24.599999999999998</v>
      </c>
      <c r="J100" s="5">
        <f>50+60</f>
        <v>110</v>
      </c>
      <c r="K100" s="5"/>
      <c r="L100" s="6">
        <v>160</v>
      </c>
      <c r="M100" s="65">
        <f>32.5+7+22</f>
        <v>61.5</v>
      </c>
      <c r="N100" s="59">
        <f>15+(L100-M100-15)*0.7</f>
        <v>73.449999999999989</v>
      </c>
    </row>
    <row r="101" spans="1:16">
      <c r="A101" s="44" t="s">
        <v>228</v>
      </c>
      <c r="B101" s="44"/>
      <c r="C101" s="4">
        <v>44957</v>
      </c>
      <c r="D101" s="4">
        <v>44957</v>
      </c>
      <c r="E101" s="35">
        <v>44977</v>
      </c>
      <c r="F101" s="40"/>
      <c r="G101" s="5"/>
      <c r="H101" s="5">
        <v>20.61</v>
      </c>
      <c r="I101" s="102">
        <f>66/30*20</f>
        <v>44</v>
      </c>
      <c r="J101" s="5">
        <v>90</v>
      </c>
      <c r="K101" s="5"/>
      <c r="L101" s="6">
        <v>155</v>
      </c>
      <c r="M101" s="65">
        <v>54</v>
      </c>
      <c r="N101" s="59">
        <f>(L101-M101)*0.7</f>
        <v>70.699999999999989</v>
      </c>
    </row>
    <row r="102" spans="1:16">
      <c r="A102" s="44" t="s">
        <v>255</v>
      </c>
      <c r="B102" s="44"/>
      <c r="C102" s="35">
        <v>44691</v>
      </c>
      <c r="D102" s="35">
        <v>44994</v>
      </c>
      <c r="E102" s="4">
        <v>44994</v>
      </c>
      <c r="F102" s="40"/>
      <c r="G102" s="40"/>
      <c r="H102" s="5">
        <v>11.03</v>
      </c>
      <c r="I102" s="102">
        <f>25*14</f>
        <v>350</v>
      </c>
      <c r="J102" s="40">
        <f>30+50</f>
        <v>80</v>
      </c>
      <c r="K102" s="40"/>
      <c r="L102" s="6">
        <v>90</v>
      </c>
      <c r="M102" s="6">
        <v>25</v>
      </c>
      <c r="N102" s="59">
        <v>48.5</v>
      </c>
    </row>
    <row r="103" spans="1:16">
      <c r="A103" s="44" t="s">
        <v>187</v>
      </c>
      <c r="B103" s="44"/>
      <c r="C103" s="35"/>
      <c r="D103" s="35">
        <v>44991</v>
      </c>
      <c r="E103" s="4">
        <v>44991</v>
      </c>
      <c r="F103" s="40"/>
      <c r="G103" s="40"/>
      <c r="H103" s="5">
        <v>13.31</v>
      </c>
      <c r="I103" s="102"/>
      <c r="J103" s="40">
        <v>45</v>
      </c>
      <c r="K103" s="40"/>
      <c r="L103" s="6">
        <v>80</v>
      </c>
      <c r="M103" s="6">
        <v>27</v>
      </c>
      <c r="N103" s="59">
        <f>(L103-M103)*0.7</f>
        <v>37.099999999999994</v>
      </c>
    </row>
    <row r="104" spans="1:16">
      <c r="A104" s="76" t="s">
        <v>276</v>
      </c>
      <c r="B104" s="44"/>
      <c r="C104" s="35">
        <v>45061</v>
      </c>
      <c r="D104" s="35">
        <v>45070</v>
      </c>
      <c r="E104" s="4"/>
      <c r="F104" s="40"/>
      <c r="G104" s="40"/>
      <c r="H104" s="5">
        <v>11.48</v>
      </c>
      <c r="I104" s="102">
        <f>21/30*9</f>
        <v>6.3</v>
      </c>
      <c r="J104" s="40"/>
      <c r="K104" s="40"/>
      <c r="L104" s="17">
        <f>50</f>
        <v>50</v>
      </c>
      <c r="M104" s="18">
        <v>21</v>
      </c>
      <c r="N104" s="70">
        <f>(50-21)*0.7</f>
        <v>20.299999999999997</v>
      </c>
    </row>
    <row r="105" spans="1:16">
      <c r="A105" s="76" t="s">
        <v>279</v>
      </c>
      <c r="B105" s="44"/>
      <c r="C105" s="35">
        <v>45065</v>
      </c>
      <c r="D105" s="35">
        <v>45070</v>
      </c>
      <c r="E105" s="4"/>
      <c r="F105" s="40"/>
      <c r="G105" s="40"/>
      <c r="H105" s="5">
        <v>11.48</v>
      </c>
      <c r="I105" s="102">
        <f>21/30*5</f>
        <v>3.5</v>
      </c>
      <c r="J105" s="40"/>
      <c r="K105" s="40"/>
      <c r="L105" s="17">
        <f>50</f>
        <v>50</v>
      </c>
      <c r="M105" s="18">
        <v>21</v>
      </c>
      <c r="N105" s="70">
        <f>(50-21)*0.7</f>
        <v>20.299999999999997</v>
      </c>
    </row>
    <row r="106" spans="1:16">
      <c r="A106" s="76" t="s">
        <v>278</v>
      </c>
      <c r="B106" s="52"/>
      <c r="C106" s="57">
        <v>44973</v>
      </c>
      <c r="D106" s="57">
        <v>45070</v>
      </c>
      <c r="E106" s="24"/>
      <c r="F106" s="48"/>
      <c r="G106" s="48"/>
      <c r="H106" s="25">
        <v>11.48</v>
      </c>
      <c r="I106" s="103">
        <f>21/30*98</f>
        <v>68.599999999999994</v>
      </c>
      <c r="J106" s="48"/>
      <c r="K106" s="48"/>
      <c r="L106" s="17">
        <v>50</v>
      </c>
      <c r="M106" s="26">
        <v>21</v>
      </c>
      <c r="N106" s="85">
        <f>(50-21)*0.7</f>
        <v>20.299999999999997</v>
      </c>
    </row>
    <row r="107" spans="1:16">
      <c r="A107" s="44" t="s">
        <v>289</v>
      </c>
      <c r="B107" s="44"/>
      <c r="C107" s="35">
        <v>45110</v>
      </c>
      <c r="D107" s="35">
        <v>45127</v>
      </c>
      <c r="E107" s="4">
        <v>45110</v>
      </c>
      <c r="F107" s="40"/>
      <c r="G107" s="40"/>
      <c r="H107" s="5">
        <v>13.31</v>
      </c>
      <c r="I107" s="102">
        <f>27/30*17</f>
        <v>15.3</v>
      </c>
      <c r="J107" s="40">
        <v>45</v>
      </c>
      <c r="K107" s="40"/>
      <c r="L107" s="6">
        <v>75</v>
      </c>
      <c r="M107" s="6">
        <v>27</v>
      </c>
      <c r="N107" s="59">
        <f>(L107-M107)*0.7</f>
        <v>33.599999999999994</v>
      </c>
    </row>
    <row r="108" spans="1:16">
      <c r="A108" s="44" t="s">
        <v>292</v>
      </c>
      <c r="B108" s="44"/>
      <c r="C108" s="35">
        <v>45138</v>
      </c>
      <c r="D108" s="35">
        <v>45139</v>
      </c>
      <c r="E108" s="35">
        <v>45162</v>
      </c>
      <c r="F108" s="40"/>
      <c r="G108" s="40"/>
      <c r="H108" s="5">
        <v>12.48</v>
      </c>
      <c r="I108" s="102">
        <f>27/30*23</f>
        <v>20.7</v>
      </c>
      <c r="J108" s="40">
        <v>45</v>
      </c>
      <c r="K108" s="40"/>
      <c r="L108" s="6">
        <v>90</v>
      </c>
      <c r="M108" s="6">
        <v>27</v>
      </c>
      <c r="N108" s="59">
        <f>(L108-M108)*0.7</f>
        <v>44.099999999999994</v>
      </c>
    </row>
    <row r="109" spans="1:16">
      <c r="A109" s="44" t="s">
        <v>293</v>
      </c>
      <c r="B109" s="44"/>
      <c r="C109" s="35">
        <v>45086</v>
      </c>
      <c r="D109" s="35">
        <v>45089</v>
      </c>
      <c r="E109" s="4">
        <v>45103</v>
      </c>
      <c r="F109" s="40"/>
      <c r="G109" s="40"/>
      <c r="H109" s="5">
        <v>11.03</v>
      </c>
      <c r="I109" s="102">
        <f>21/30*14</f>
        <v>9.7999999999999989</v>
      </c>
      <c r="J109" s="40"/>
      <c r="K109" s="40"/>
      <c r="L109" s="6">
        <v>50</v>
      </c>
      <c r="M109" s="6">
        <v>21</v>
      </c>
      <c r="N109" s="59">
        <f>(L109-M109)*0.7</f>
        <v>20.299999999999997</v>
      </c>
    </row>
    <row r="110" spans="1:16">
      <c r="A110" s="44" t="s">
        <v>295</v>
      </c>
      <c r="B110" s="44"/>
      <c r="C110" s="35">
        <v>45228</v>
      </c>
      <c r="D110" s="35">
        <v>45203</v>
      </c>
      <c r="E110" s="4"/>
      <c r="F110" s="40"/>
      <c r="G110" s="40"/>
      <c r="H110" s="5">
        <v>13.31</v>
      </c>
      <c r="I110" s="102">
        <f>27/30*5</f>
        <v>4.5</v>
      </c>
      <c r="J110" s="40">
        <v>45</v>
      </c>
      <c r="K110" s="40"/>
      <c r="L110" s="6">
        <v>80</v>
      </c>
      <c r="M110" s="6">
        <v>27</v>
      </c>
      <c r="N110" s="59">
        <f>(L110-M110)*0.7</f>
        <v>37.099999999999994</v>
      </c>
    </row>
    <row r="111" spans="1:16">
      <c r="A111" s="44" t="s">
        <v>320</v>
      </c>
      <c r="B111" s="44"/>
      <c r="C111" s="35">
        <v>45177</v>
      </c>
      <c r="D111" s="35">
        <v>45196</v>
      </c>
      <c r="E111" s="4"/>
      <c r="F111" s="40"/>
      <c r="G111" s="40"/>
      <c r="H111" s="5">
        <v>10.44</v>
      </c>
      <c r="I111" s="102">
        <f>38/30*21</f>
        <v>26.599999999999998</v>
      </c>
      <c r="J111" s="40"/>
      <c r="K111" s="40"/>
      <c r="L111" s="6">
        <v>69</v>
      </c>
      <c r="M111" s="6">
        <v>38</v>
      </c>
      <c r="N111" s="59">
        <f>(69-38)*0.7</f>
        <v>21.7</v>
      </c>
    </row>
    <row r="112" spans="1:16">
      <c r="A112" s="44" t="s">
        <v>325</v>
      </c>
      <c r="B112" s="44"/>
      <c r="C112" s="35"/>
      <c r="D112" s="35">
        <v>45223</v>
      </c>
      <c r="E112" s="4">
        <v>45239</v>
      </c>
      <c r="F112" s="40"/>
      <c r="G112" s="40"/>
      <c r="H112" s="5">
        <v>40</v>
      </c>
      <c r="I112" s="102">
        <f>43/30*15</f>
        <v>21.5</v>
      </c>
      <c r="J112" s="40"/>
      <c r="K112" s="40"/>
      <c r="L112" s="6">
        <v>69</v>
      </c>
      <c r="M112" s="6">
        <v>43</v>
      </c>
      <c r="N112" s="94">
        <f>(69-43)*0.7</f>
        <v>18.2</v>
      </c>
      <c r="O112" s="72" t="s">
        <v>329</v>
      </c>
      <c r="P112" s="72">
        <v>12.74</v>
      </c>
    </row>
    <row r="113" spans="1:15">
      <c r="A113" s="44" t="s">
        <v>326</v>
      </c>
      <c r="B113" s="44"/>
      <c r="C113" s="35"/>
      <c r="D113" s="35">
        <v>45188</v>
      </c>
      <c r="E113" s="4">
        <v>45209</v>
      </c>
      <c r="F113" s="40"/>
      <c r="G113" s="40"/>
      <c r="H113" s="5">
        <v>11.48</v>
      </c>
      <c r="I113" s="102"/>
      <c r="J113" s="40"/>
      <c r="K113" s="40"/>
      <c r="L113" s="6">
        <v>59</v>
      </c>
      <c r="M113" s="6">
        <v>38</v>
      </c>
      <c r="N113" s="59">
        <f>(L113-M113)*0.7</f>
        <v>14.7</v>
      </c>
    </row>
    <row r="114" spans="1:15">
      <c r="A114" s="44" t="s">
        <v>108</v>
      </c>
      <c r="B114" s="44"/>
      <c r="C114" s="35"/>
      <c r="D114" s="35">
        <v>45231</v>
      </c>
      <c r="E114" s="4">
        <v>45231</v>
      </c>
      <c r="F114" s="40"/>
      <c r="G114" s="40"/>
      <c r="H114" s="5"/>
      <c r="I114" s="102"/>
      <c r="J114" s="40"/>
      <c r="K114" s="40"/>
      <c r="L114" s="6">
        <v>69</v>
      </c>
      <c r="M114" s="6">
        <v>43</v>
      </c>
      <c r="N114" s="59">
        <f>(L114-M114)*0.7</f>
        <v>18.2</v>
      </c>
    </row>
    <row r="115" spans="1:15">
      <c r="A115" s="44" t="s">
        <v>327</v>
      </c>
      <c r="B115" s="44"/>
      <c r="C115" s="35"/>
      <c r="D115" s="35"/>
      <c r="E115" s="4">
        <v>45127</v>
      </c>
      <c r="F115" s="40"/>
      <c r="G115" s="40"/>
      <c r="H115" s="5">
        <v>11.48</v>
      </c>
      <c r="I115" s="102"/>
      <c r="J115" s="40"/>
      <c r="K115" s="40"/>
      <c r="L115" s="6">
        <v>25</v>
      </c>
      <c r="M115" s="6">
        <v>9</v>
      </c>
      <c r="N115" s="59">
        <f>(L115-M115)*0.7</f>
        <v>11.2</v>
      </c>
    </row>
    <row r="116" spans="1:15">
      <c r="A116" s="44" t="s">
        <v>336</v>
      </c>
      <c r="B116" s="44"/>
      <c r="C116" s="35"/>
      <c r="D116" s="35">
        <v>45278</v>
      </c>
      <c r="E116" s="4">
        <v>45278</v>
      </c>
      <c r="F116" s="40"/>
      <c r="G116" s="40"/>
      <c r="H116" s="5"/>
      <c r="I116" s="102"/>
      <c r="J116" s="40"/>
      <c r="K116" s="40"/>
      <c r="L116" s="6">
        <v>69</v>
      </c>
      <c r="M116" s="6">
        <v>43</v>
      </c>
      <c r="N116" s="59">
        <f>(69-43)*0.7/30*42</f>
        <v>25.48</v>
      </c>
    </row>
    <row r="117" spans="1:15">
      <c r="A117" s="44" t="s">
        <v>337</v>
      </c>
      <c r="B117" s="44"/>
      <c r="C117" s="35">
        <v>45342</v>
      </c>
      <c r="D117" s="35">
        <v>44977</v>
      </c>
      <c r="E117" s="4">
        <v>45342</v>
      </c>
      <c r="F117" s="40"/>
      <c r="G117" s="40"/>
      <c r="H117" s="5">
        <v>13.78</v>
      </c>
      <c r="I117" s="102"/>
      <c r="J117" s="40">
        <f>45+50</f>
        <v>95</v>
      </c>
      <c r="K117" s="40"/>
      <c r="L117" s="6">
        <v>100</v>
      </c>
      <c r="M117" s="6">
        <v>38.5</v>
      </c>
      <c r="N117" s="59">
        <f t="shared" ref="N117:N123" si="2">(L117-M117)*0.7</f>
        <v>43.05</v>
      </c>
    </row>
    <row r="118" spans="1:15">
      <c r="A118" s="44" t="s">
        <v>338</v>
      </c>
      <c r="B118" s="44"/>
      <c r="C118" s="35">
        <v>45271</v>
      </c>
      <c r="D118" s="35"/>
      <c r="E118" s="4">
        <v>45301</v>
      </c>
      <c r="F118" s="40"/>
      <c r="G118" s="40"/>
      <c r="H118" s="5">
        <v>14.26</v>
      </c>
      <c r="I118" s="102">
        <f>25/30*29</f>
        <v>24.166666666666668</v>
      </c>
      <c r="J118" s="40">
        <f>30+50</f>
        <v>80</v>
      </c>
      <c r="K118" s="40"/>
      <c r="L118" s="6">
        <v>80</v>
      </c>
      <c r="M118" s="6">
        <v>29</v>
      </c>
      <c r="N118" s="59">
        <f t="shared" si="2"/>
        <v>35.699999999999996</v>
      </c>
      <c r="O118" t="s">
        <v>339</v>
      </c>
    </row>
    <row r="119" spans="1:15">
      <c r="A119" s="44" t="s">
        <v>333</v>
      </c>
      <c r="B119" s="44"/>
      <c r="C119" s="35"/>
      <c r="D119" s="35"/>
      <c r="E119" s="4">
        <v>45336</v>
      </c>
      <c r="F119" s="40"/>
      <c r="G119" s="40"/>
      <c r="H119" s="5">
        <v>10</v>
      </c>
      <c r="I119" s="102">
        <v>0</v>
      </c>
      <c r="J119" s="40">
        <v>120</v>
      </c>
      <c r="K119" s="40"/>
      <c r="L119" s="6">
        <v>160</v>
      </c>
      <c r="M119" s="6">
        <v>72</v>
      </c>
      <c r="N119" s="59">
        <f t="shared" si="2"/>
        <v>61.599999999999994</v>
      </c>
    </row>
    <row r="120" spans="1:15">
      <c r="A120" s="44" t="s">
        <v>343</v>
      </c>
      <c r="B120" s="44"/>
      <c r="C120" s="35"/>
      <c r="D120" s="35"/>
      <c r="E120" s="4">
        <v>45336</v>
      </c>
      <c r="F120" s="40"/>
      <c r="G120" s="40"/>
      <c r="H120" s="5">
        <v>10.92</v>
      </c>
      <c r="I120" s="102"/>
      <c r="J120" s="40"/>
      <c r="K120" s="40"/>
      <c r="L120" s="6">
        <v>59</v>
      </c>
      <c r="M120" s="6">
        <v>38</v>
      </c>
      <c r="N120" s="59">
        <f t="shared" si="2"/>
        <v>14.7</v>
      </c>
    </row>
    <row r="121" spans="1:15">
      <c r="A121" s="44" t="s">
        <v>344</v>
      </c>
      <c r="B121" s="44"/>
      <c r="C121" s="35"/>
      <c r="D121" s="35">
        <v>45323</v>
      </c>
      <c r="E121" s="4">
        <v>45323</v>
      </c>
      <c r="F121" s="40"/>
      <c r="G121" s="40"/>
      <c r="H121" s="5">
        <v>10.92</v>
      </c>
      <c r="I121" s="102"/>
      <c r="J121" s="40"/>
      <c r="K121" s="40"/>
      <c r="L121" s="6">
        <v>40</v>
      </c>
      <c r="M121" s="6">
        <v>32.5</v>
      </c>
      <c r="N121" s="59">
        <f t="shared" si="2"/>
        <v>5.25</v>
      </c>
    </row>
    <row r="122" spans="1:15">
      <c r="A122" s="44" t="s">
        <v>345</v>
      </c>
      <c r="B122" s="44"/>
      <c r="C122" s="35"/>
      <c r="D122" s="35"/>
      <c r="E122" s="4">
        <v>45345</v>
      </c>
      <c r="F122" s="40"/>
      <c r="G122" s="40"/>
      <c r="H122" s="5">
        <v>24.2</v>
      </c>
      <c r="I122" s="102"/>
      <c r="J122" s="40">
        <v>45</v>
      </c>
      <c r="K122" s="40"/>
      <c r="L122" s="6">
        <v>90</v>
      </c>
      <c r="M122" s="6">
        <f>7+9</f>
        <v>16</v>
      </c>
      <c r="N122" s="59">
        <f t="shared" si="2"/>
        <v>51.8</v>
      </c>
    </row>
    <row r="123" spans="1:15">
      <c r="A123" s="44" t="s">
        <v>346</v>
      </c>
      <c r="B123" s="44"/>
      <c r="C123" s="35"/>
      <c r="D123" s="35"/>
      <c r="E123" s="4">
        <v>45334</v>
      </c>
      <c r="F123" s="40"/>
      <c r="G123" s="40"/>
      <c r="H123" s="5">
        <v>12.01</v>
      </c>
      <c r="I123" s="102"/>
      <c r="J123" s="40">
        <v>15</v>
      </c>
      <c r="K123" s="40"/>
      <c r="L123" s="6">
        <v>20</v>
      </c>
      <c r="M123" s="6">
        <v>9</v>
      </c>
      <c r="N123" s="70">
        <f t="shared" si="2"/>
        <v>7.6999999999999993</v>
      </c>
    </row>
    <row r="124" spans="1:15">
      <c r="A124" s="44" t="s">
        <v>361</v>
      </c>
      <c r="B124" s="44"/>
      <c r="C124" s="35"/>
      <c r="D124" s="35">
        <v>45366</v>
      </c>
      <c r="E124" s="4">
        <v>45385</v>
      </c>
      <c r="F124" s="40"/>
      <c r="G124" s="40"/>
      <c r="H124" s="5"/>
      <c r="I124" s="102">
        <f>69/30*18</f>
        <v>41.4</v>
      </c>
      <c r="J124" s="40"/>
      <c r="K124" s="40"/>
      <c r="L124" s="6">
        <v>69</v>
      </c>
      <c r="M124" s="6">
        <v>43</v>
      </c>
      <c r="N124" s="70">
        <f>(L124-M124)*0.7/30*27</f>
        <v>16.38</v>
      </c>
    </row>
    <row r="125" spans="1:15">
      <c r="C125" s="36"/>
      <c r="D125" s="36"/>
      <c r="F125" s="28"/>
      <c r="G125" s="28"/>
      <c r="H125" s="30"/>
      <c r="I125" s="104"/>
      <c r="M125" s="62" t="s">
        <v>4</v>
      </c>
      <c r="N125" s="18">
        <f>SUM(N2:N124)</f>
        <v>4471.26</v>
      </c>
    </row>
    <row r="126" spans="1:15">
      <c r="C126" s="36"/>
      <c r="D126" s="36"/>
      <c r="F126" s="28"/>
      <c r="G126" s="28"/>
      <c r="H126" s="30"/>
      <c r="I126" s="104"/>
      <c r="M126" s="61" t="s">
        <v>251</v>
      </c>
      <c r="N126" s="6">
        <f>N125+N135</f>
        <v>4471.26</v>
      </c>
    </row>
    <row r="127" spans="1:15">
      <c r="C127" s="36"/>
      <c r="D127" s="36"/>
      <c r="F127" s="28"/>
      <c r="G127" s="28"/>
      <c r="H127" s="30"/>
      <c r="I127" s="104"/>
    </row>
    <row r="129" spans="1:16">
      <c r="A129" s="28"/>
      <c r="B129" s="28"/>
      <c r="E129" s="15"/>
      <c r="F129" s="1"/>
      <c r="G129" s="1"/>
      <c r="H129" s="1"/>
      <c r="J129" s="1"/>
      <c r="K129" s="1"/>
      <c r="L129" s="1"/>
      <c r="M129" s="1"/>
      <c r="N129" s="29"/>
    </row>
    <row r="130" spans="1:16">
      <c r="L130" s="1"/>
      <c r="M130" s="1"/>
    </row>
    <row r="131" spans="1:16">
      <c r="H131" s="30"/>
      <c r="L131" s="1"/>
      <c r="M131" t="s">
        <v>362</v>
      </c>
      <c r="O131">
        <v>29</v>
      </c>
    </row>
    <row r="132" spans="1:16">
      <c r="M132"/>
      <c r="P132" s="42"/>
    </row>
    <row r="134" spans="1:16">
      <c r="P134" s="42"/>
    </row>
    <row r="136" spans="1:16">
      <c r="P136" s="42"/>
    </row>
  </sheetData>
  <autoFilter ref="A1:P126">
    <sortState ref="A2:P101">
      <sortCondition ref="B1:B101"/>
    </sortState>
  </autoFilter>
  <pageMargins left="0.7" right="0.7" top="0.75" bottom="0.75" header="0.3" footer="0.3"/>
  <pageSetup paperSize="9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>
  <dimension ref="A1:P136"/>
  <sheetViews>
    <sheetView topLeftCell="B118" workbookViewId="0">
      <selection activeCell="N126" sqref="N126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3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50</v>
      </c>
      <c r="M5" s="61">
        <v>22</v>
      </c>
      <c r="N5" s="6">
        <f t="shared" si="0"/>
        <v>19.599999999999998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40</v>
      </c>
      <c r="B19" s="2"/>
      <c r="C19" s="4">
        <v>43106</v>
      </c>
      <c r="D19" s="4"/>
      <c r="E19" s="4">
        <v>43146</v>
      </c>
      <c r="F19" s="5"/>
      <c r="G19" s="49"/>
      <c r="H19" s="5">
        <v>8.2899999999999991</v>
      </c>
      <c r="I19" s="102">
        <f>25/30*39</f>
        <v>32.5</v>
      </c>
      <c r="J19" s="5"/>
      <c r="K19" s="5"/>
      <c r="L19" s="6">
        <v>70</v>
      </c>
      <c r="M19" s="61">
        <v>26</v>
      </c>
      <c r="N19" s="6">
        <f t="shared" si="0"/>
        <v>30.799999999999997</v>
      </c>
    </row>
    <row r="20" spans="1:15">
      <c r="A20" s="2" t="s">
        <v>44</v>
      </c>
      <c r="B20" s="2"/>
      <c r="C20" s="4">
        <v>43196</v>
      </c>
      <c r="D20" s="4"/>
      <c r="E20" s="4">
        <v>43250</v>
      </c>
      <c r="F20" s="5"/>
      <c r="G20" s="49"/>
      <c r="H20" s="5">
        <v>13.78</v>
      </c>
      <c r="I20" s="102">
        <f>25*24/30+25</f>
        <v>45</v>
      </c>
      <c r="J20" s="5"/>
      <c r="K20" s="5"/>
      <c r="L20" s="6">
        <v>11</v>
      </c>
      <c r="M20" s="61">
        <v>25</v>
      </c>
      <c r="N20" s="6">
        <v>9.7999999999999989</v>
      </c>
    </row>
    <row r="21" spans="1:15">
      <c r="A21" s="22" t="s">
        <v>47</v>
      </c>
      <c r="B21" s="22"/>
      <c r="C21" s="4">
        <v>43355</v>
      </c>
      <c r="D21" s="4"/>
      <c r="E21" s="4">
        <v>43277</v>
      </c>
      <c r="F21" s="5"/>
      <c r="G21" s="49"/>
      <c r="H21" s="5">
        <v>19.98</v>
      </c>
      <c r="I21" s="102">
        <f>36*2+36/30*16</f>
        <v>91.2</v>
      </c>
      <c r="J21" s="5"/>
      <c r="K21" s="5"/>
      <c r="L21" s="6">
        <v>105</v>
      </c>
      <c r="M21" s="61">
        <v>36</v>
      </c>
      <c r="N21" s="6">
        <f t="shared" si="0"/>
        <v>48.3</v>
      </c>
    </row>
    <row r="22" spans="1:15">
      <c r="A22" s="22" t="s">
        <v>48</v>
      </c>
      <c r="B22" s="22"/>
      <c r="C22" s="4">
        <v>43367</v>
      </c>
      <c r="D22" s="4"/>
      <c r="E22" s="4">
        <v>43284</v>
      </c>
      <c r="F22" s="5"/>
      <c r="G22" s="49"/>
      <c r="H22" s="5">
        <v>9.1</v>
      </c>
      <c r="I22" s="102">
        <f>25+25/30*27</f>
        <v>47.5</v>
      </c>
      <c r="J22" s="5"/>
      <c r="K22" s="5"/>
      <c r="L22" s="6">
        <v>75</v>
      </c>
      <c r="M22" s="61">
        <v>25</v>
      </c>
      <c r="N22" s="6">
        <f t="shared" si="0"/>
        <v>35</v>
      </c>
    </row>
    <row r="23" spans="1:15">
      <c r="A23" s="2" t="s">
        <v>45</v>
      </c>
      <c r="B23" s="2"/>
      <c r="C23" s="4"/>
      <c r="D23" s="4"/>
      <c r="E23" s="4">
        <v>43286</v>
      </c>
      <c r="F23" s="5"/>
      <c r="G23" s="49"/>
      <c r="H23" s="5">
        <v>11.56</v>
      </c>
      <c r="I23" s="102"/>
      <c r="J23" s="5"/>
      <c r="K23" s="5"/>
      <c r="L23" s="6">
        <v>150</v>
      </c>
      <c r="M23" s="61">
        <v>76</v>
      </c>
      <c r="N23" s="6">
        <f t="shared" si="0"/>
        <v>51.8</v>
      </c>
      <c r="O23" s="20"/>
    </row>
    <row r="24" spans="1:15">
      <c r="A24" s="22" t="s">
        <v>49</v>
      </c>
      <c r="B24" s="22"/>
      <c r="C24" s="4">
        <v>43367</v>
      </c>
      <c r="D24" s="4"/>
      <c r="E24" s="4">
        <v>43291</v>
      </c>
      <c r="F24" s="5"/>
      <c r="G24" s="49"/>
      <c r="H24" s="5">
        <v>10.039999999999999</v>
      </c>
      <c r="I24" s="102">
        <f>50+25/30*14</f>
        <v>61.666666666666671</v>
      </c>
      <c r="J24" s="5"/>
      <c r="K24" s="5"/>
      <c r="L24" s="6">
        <v>50</v>
      </c>
      <c r="M24" s="61">
        <v>22</v>
      </c>
      <c r="N24" s="18">
        <f t="shared" si="0"/>
        <v>19.599999999999998</v>
      </c>
    </row>
    <row r="25" spans="1:15">
      <c r="A25" s="22" t="s">
        <v>51</v>
      </c>
      <c r="B25" s="22"/>
      <c r="C25" s="4">
        <v>43358</v>
      </c>
      <c r="D25" s="4"/>
      <c r="E25" s="4">
        <v>43291</v>
      </c>
      <c r="F25" s="5"/>
      <c r="G25" s="49"/>
      <c r="H25" s="5">
        <v>10.039999999999999</v>
      </c>
      <c r="I25" s="102">
        <f>50+25/30*5</f>
        <v>54.166666666666664</v>
      </c>
      <c r="J25" s="5"/>
      <c r="K25" s="5"/>
      <c r="L25" s="6">
        <v>75</v>
      </c>
      <c r="M25" s="61">
        <v>25</v>
      </c>
      <c r="N25" s="6">
        <f t="shared" si="0"/>
        <v>35</v>
      </c>
    </row>
    <row r="26" spans="1:15">
      <c r="A26" s="22" t="s">
        <v>52</v>
      </c>
      <c r="B26" s="22"/>
      <c r="C26" s="4">
        <v>43367</v>
      </c>
      <c r="D26" s="4"/>
      <c r="E26" s="4">
        <v>43308</v>
      </c>
      <c r="F26" s="5"/>
      <c r="G26" s="49"/>
      <c r="H26" s="5">
        <v>10.86</v>
      </c>
      <c r="I26" s="102">
        <f>25+25/30*27</f>
        <v>47.5</v>
      </c>
      <c r="J26" s="5"/>
      <c r="K26" s="5"/>
      <c r="L26" s="6">
        <v>75</v>
      </c>
      <c r="M26" s="61">
        <v>25</v>
      </c>
      <c r="N26" s="27">
        <f t="shared" si="0"/>
        <v>35</v>
      </c>
    </row>
    <row r="27" spans="1:15">
      <c r="A27" s="22" t="s">
        <v>50</v>
      </c>
      <c r="B27" s="22"/>
      <c r="C27" s="4">
        <v>43367</v>
      </c>
      <c r="D27" s="4"/>
      <c r="E27" s="4">
        <v>43312</v>
      </c>
      <c r="F27" s="5"/>
      <c r="G27" s="49"/>
      <c r="H27" s="5">
        <v>10.86</v>
      </c>
      <c r="I27" s="102">
        <f>25+25/30*24</f>
        <v>45</v>
      </c>
      <c r="J27" s="5"/>
      <c r="K27" s="5"/>
      <c r="L27" s="6">
        <v>70</v>
      </c>
      <c r="M27" s="61">
        <v>25</v>
      </c>
      <c r="N27" s="6">
        <f t="shared" si="0"/>
        <v>31.499999999999996</v>
      </c>
    </row>
    <row r="28" spans="1:15">
      <c r="A28" s="22" t="s">
        <v>55</v>
      </c>
      <c r="B28" s="22"/>
      <c r="C28" s="4">
        <v>43363</v>
      </c>
      <c r="D28" s="4"/>
      <c r="E28" s="4">
        <v>43440</v>
      </c>
      <c r="F28" s="5"/>
      <c r="G28" s="49"/>
      <c r="H28" s="5">
        <v>14.11</v>
      </c>
      <c r="I28" s="102">
        <f>25*2+25*16/30</f>
        <v>63.333333333333336</v>
      </c>
      <c r="J28" s="5"/>
      <c r="K28" s="5"/>
      <c r="L28" s="6">
        <v>75</v>
      </c>
      <c r="M28" s="61">
        <v>25</v>
      </c>
      <c r="N28" s="6">
        <f t="shared" si="0"/>
        <v>35</v>
      </c>
    </row>
    <row r="29" spans="1:15">
      <c r="A29" s="22" t="s">
        <v>54</v>
      </c>
      <c r="B29" s="22"/>
      <c r="C29" s="4">
        <v>43167</v>
      </c>
      <c r="D29" s="4"/>
      <c r="E29" s="4">
        <v>43455</v>
      </c>
      <c r="F29" s="5"/>
      <c r="G29" s="49"/>
      <c r="H29" s="5">
        <v>10.86</v>
      </c>
      <c r="I29" s="102">
        <f>9*25+25*13/30</f>
        <v>235.83333333333334</v>
      </c>
      <c r="J29" s="5"/>
      <c r="K29" s="5"/>
      <c r="L29" s="6">
        <v>90</v>
      </c>
      <c r="M29" s="61">
        <v>36</v>
      </c>
      <c r="N29" s="6">
        <f t="shared" si="0"/>
        <v>37.799999999999997</v>
      </c>
    </row>
    <row r="30" spans="1:15">
      <c r="A30" s="22" t="s">
        <v>57</v>
      </c>
      <c r="B30" s="55"/>
      <c r="C30" s="31">
        <v>43478</v>
      </c>
      <c r="D30" s="31"/>
      <c r="E30" s="4">
        <v>43536</v>
      </c>
      <c r="F30" s="5"/>
      <c r="G30" s="49"/>
      <c r="H30" s="5">
        <v>10.86</v>
      </c>
      <c r="I30" s="102">
        <v>25</v>
      </c>
      <c r="J30" s="5"/>
      <c r="K30" s="5"/>
      <c r="L30" s="6">
        <v>70</v>
      </c>
      <c r="M30" s="61">
        <v>25</v>
      </c>
      <c r="N30" s="6">
        <f t="shared" si="0"/>
        <v>31.499999999999996</v>
      </c>
    </row>
    <row r="31" spans="1:15">
      <c r="A31" s="22" t="s">
        <v>59</v>
      </c>
      <c r="B31" s="22"/>
      <c r="C31" s="4">
        <v>43528</v>
      </c>
      <c r="D31" s="4"/>
      <c r="E31" s="4">
        <v>43538</v>
      </c>
      <c r="F31" s="5"/>
      <c r="G31" s="49"/>
      <c r="H31" s="5">
        <v>14.92</v>
      </c>
      <c r="I31" s="102">
        <f>77/30*10</f>
        <v>25.666666666666668</v>
      </c>
      <c r="J31" s="5"/>
      <c r="K31" s="5"/>
      <c r="L31" s="6">
        <v>169</v>
      </c>
      <c r="M31" s="61">
        <f>64+11+2</f>
        <v>77</v>
      </c>
      <c r="N31" s="6">
        <f t="shared" si="0"/>
        <v>64.399999999999991</v>
      </c>
    </row>
    <row r="32" spans="1:15">
      <c r="A32" s="22" t="s">
        <v>58</v>
      </c>
      <c r="B32" s="22"/>
      <c r="C32" s="4">
        <v>43534</v>
      </c>
      <c r="D32" s="4"/>
      <c r="E32" s="4">
        <v>43542</v>
      </c>
      <c r="F32" s="5"/>
      <c r="G32" s="49"/>
      <c r="H32" s="5">
        <f>10.86*2</f>
        <v>21.72</v>
      </c>
      <c r="I32" s="102">
        <v>0</v>
      </c>
      <c r="J32" s="5"/>
      <c r="K32" s="5"/>
      <c r="L32" s="6">
        <v>60</v>
      </c>
      <c r="M32" s="61">
        <v>33</v>
      </c>
      <c r="N32" s="6">
        <v>18.899999999999999</v>
      </c>
    </row>
    <row r="33" spans="1:15">
      <c r="A33" s="22" t="s">
        <v>61</v>
      </c>
      <c r="B33" s="22"/>
      <c r="C33" s="4">
        <v>43482</v>
      </c>
      <c r="D33" s="4"/>
      <c r="E33" s="4">
        <v>43542</v>
      </c>
      <c r="F33" s="5"/>
      <c r="G33" s="49"/>
      <c r="H33" s="5">
        <v>11.1</v>
      </c>
      <c r="I33" s="102">
        <f>25*2</f>
        <v>50</v>
      </c>
      <c r="J33" s="5"/>
      <c r="K33" s="5"/>
      <c r="L33" s="6">
        <v>70</v>
      </c>
      <c r="M33" s="61">
        <v>26</v>
      </c>
      <c r="N33" s="6">
        <f t="shared" si="0"/>
        <v>30.799999999999997</v>
      </c>
    </row>
    <row r="34" spans="1:15">
      <c r="A34" s="22" t="s">
        <v>67</v>
      </c>
      <c r="B34" s="22"/>
      <c r="C34" s="4">
        <v>43600</v>
      </c>
      <c r="D34" s="4"/>
      <c r="E34" s="4">
        <v>43629</v>
      </c>
      <c r="F34" s="5"/>
      <c r="G34" s="49"/>
      <c r="H34" s="5">
        <f>10.86*2</f>
        <v>21.72</v>
      </c>
      <c r="I34" s="102">
        <f>22/30*58</f>
        <v>42.533333333333331</v>
      </c>
      <c r="J34" s="5">
        <v>50</v>
      </c>
      <c r="K34" s="5">
        <f>H34+I34+J34</f>
        <v>114.25333333333333</v>
      </c>
      <c r="L34" s="6">
        <v>60</v>
      </c>
      <c r="M34" s="61">
        <v>25</v>
      </c>
      <c r="N34" s="6">
        <v>0</v>
      </c>
    </row>
    <row r="35" spans="1:15">
      <c r="A35" s="22" t="s">
        <v>66</v>
      </c>
      <c r="B35" s="22"/>
      <c r="C35" s="4">
        <v>43600</v>
      </c>
      <c r="D35" s="4"/>
      <c r="E35" s="4">
        <v>43629</v>
      </c>
      <c r="F35" s="5"/>
      <c r="G35" s="49"/>
      <c r="H35" s="5">
        <f>10.86</f>
        <v>10.86</v>
      </c>
      <c r="I35" s="102">
        <f>39/30*58</f>
        <v>75.400000000000006</v>
      </c>
      <c r="J35" s="5"/>
      <c r="K35" s="5">
        <f>H35+I35</f>
        <v>86.26</v>
      </c>
      <c r="L35" s="6">
        <v>110</v>
      </c>
      <c r="M35" s="61">
        <f>25+11+3</f>
        <v>39</v>
      </c>
      <c r="N35" s="6">
        <v>0</v>
      </c>
      <c r="O35" t="s">
        <v>73</v>
      </c>
    </row>
    <row r="36" spans="1:15">
      <c r="A36" s="22" t="s">
        <v>64</v>
      </c>
      <c r="B36" s="22"/>
      <c r="C36" s="4">
        <v>43627</v>
      </c>
      <c r="D36" s="4"/>
      <c r="E36" s="4">
        <v>43629</v>
      </c>
      <c r="F36" s="5"/>
      <c r="G36" s="49"/>
      <c r="H36" s="5">
        <v>10.86</v>
      </c>
      <c r="I36" s="102">
        <f>25/30*2</f>
        <v>1.6666666666666667</v>
      </c>
      <c r="J36" s="5"/>
      <c r="K36" s="5">
        <f>H36+I36</f>
        <v>12.526666666666666</v>
      </c>
      <c r="L36" s="6">
        <v>200</v>
      </c>
      <c r="M36" s="61">
        <v>11</v>
      </c>
      <c r="N36" s="5">
        <f t="shared" ref="N36:N48" si="1">(L36-M36)*0.7</f>
        <v>132.29999999999998</v>
      </c>
    </row>
    <row r="37" spans="1:15">
      <c r="A37" s="22" t="s">
        <v>65</v>
      </c>
      <c r="B37" s="22"/>
      <c r="C37" s="4">
        <v>43622</v>
      </c>
      <c r="D37" s="4"/>
      <c r="E37" s="4">
        <v>43650</v>
      </c>
      <c r="F37" s="5"/>
      <c r="G37" s="49"/>
      <c r="H37" s="5">
        <v>10.86</v>
      </c>
      <c r="I37" s="102"/>
      <c r="J37" s="5"/>
      <c r="K37" s="5"/>
      <c r="L37" s="6">
        <v>120</v>
      </c>
      <c r="M37" s="61">
        <v>60</v>
      </c>
      <c r="N37" s="6">
        <f t="shared" si="1"/>
        <v>42</v>
      </c>
    </row>
    <row r="38" spans="1:15">
      <c r="A38" s="22" t="s">
        <v>71</v>
      </c>
      <c r="B38" s="22"/>
      <c r="C38" s="4">
        <v>43635</v>
      </c>
      <c r="D38" s="4"/>
      <c r="E38" s="4">
        <v>43662</v>
      </c>
      <c r="F38" s="5"/>
      <c r="G38" s="49"/>
      <c r="H38" s="5">
        <f>10.86*2</f>
        <v>21.72</v>
      </c>
      <c r="I38" s="102"/>
      <c r="J38" s="5"/>
      <c r="K38" s="5"/>
      <c r="L38" s="6">
        <v>70</v>
      </c>
      <c r="M38" s="61">
        <v>26</v>
      </c>
      <c r="N38" s="6">
        <f t="shared" si="1"/>
        <v>30.799999999999997</v>
      </c>
      <c r="O38" t="s">
        <v>72</v>
      </c>
    </row>
    <row r="39" spans="1:15">
      <c r="A39" s="2" t="s">
        <v>75</v>
      </c>
      <c r="B39" s="2"/>
      <c r="C39" s="4">
        <v>43656</v>
      </c>
      <c r="D39" s="4"/>
      <c r="E39" s="4">
        <v>43711</v>
      </c>
      <c r="F39" s="5"/>
      <c r="G39" s="49"/>
      <c r="H39" s="5">
        <v>10.86</v>
      </c>
      <c r="I39" s="102">
        <f>36/30*48</f>
        <v>57.599999999999994</v>
      </c>
      <c r="J39" s="5"/>
      <c r="K39" s="5"/>
      <c r="L39" s="6">
        <v>105</v>
      </c>
      <c r="M39" s="61">
        <v>36</v>
      </c>
      <c r="N39" s="6">
        <f t="shared" si="1"/>
        <v>48.3</v>
      </c>
    </row>
    <row r="40" spans="1:15">
      <c r="A40" s="2" t="s">
        <v>76</v>
      </c>
      <c r="B40" s="2"/>
      <c r="C40" s="4">
        <v>43677</v>
      </c>
      <c r="D40" s="4"/>
      <c r="E40" s="4">
        <v>43713</v>
      </c>
      <c r="F40" s="5"/>
      <c r="G40" s="49"/>
      <c r="H40" s="5">
        <v>24.06</v>
      </c>
      <c r="I40" s="102">
        <f>80/30*35</f>
        <v>93.333333333333329</v>
      </c>
      <c r="J40" s="5">
        <v>40</v>
      </c>
      <c r="K40" s="5"/>
      <c r="L40" s="6">
        <v>149</v>
      </c>
      <c r="M40" s="61">
        <v>80</v>
      </c>
      <c r="N40" s="6">
        <f t="shared" si="1"/>
        <v>48.3</v>
      </c>
      <c r="O40" t="s">
        <v>79</v>
      </c>
    </row>
    <row r="41" spans="1:15">
      <c r="A41" s="10" t="s">
        <v>81</v>
      </c>
      <c r="B41" s="10"/>
      <c r="C41" s="11">
        <v>45444</v>
      </c>
      <c r="D41" s="11"/>
      <c r="E41" s="11">
        <v>45408</v>
      </c>
      <c r="F41" s="12"/>
      <c r="G41" s="12"/>
      <c r="H41" s="12"/>
      <c r="I41" s="106">
        <f>43/30*34</f>
        <v>48.733333333333334</v>
      </c>
      <c r="J41" s="12"/>
      <c r="K41" s="12"/>
      <c r="L41" s="12">
        <v>129</v>
      </c>
      <c r="M41" s="107">
        <v>61</v>
      </c>
      <c r="N41" s="12">
        <f t="shared" si="1"/>
        <v>47.599999999999994</v>
      </c>
    </row>
    <row r="42" spans="1:15">
      <c r="A42" s="22" t="s">
        <v>87</v>
      </c>
      <c r="B42" s="22"/>
      <c r="C42" s="35">
        <v>43878</v>
      </c>
      <c r="D42" s="35"/>
      <c r="E42" s="35">
        <v>43892</v>
      </c>
      <c r="F42" s="5"/>
      <c r="G42" s="49"/>
      <c r="H42" s="5">
        <v>12.19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5">
      <c r="A43" s="22" t="s">
        <v>89</v>
      </c>
      <c r="B43" s="22"/>
      <c r="C43" s="35">
        <v>43908</v>
      </c>
      <c r="D43" s="35"/>
      <c r="E43" s="35">
        <v>43893</v>
      </c>
      <c r="F43" s="5"/>
      <c r="G43" s="49"/>
      <c r="H43" s="5">
        <v>9.6</v>
      </c>
      <c r="I43" s="102"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5">
      <c r="A44" s="22" t="s">
        <v>85</v>
      </c>
      <c r="B44" s="22"/>
      <c r="C44" s="35">
        <v>43881</v>
      </c>
      <c r="D44" s="35"/>
      <c r="E44" s="35">
        <v>43895</v>
      </c>
      <c r="F44" s="5"/>
      <c r="G44" s="49"/>
      <c r="H44" s="5">
        <v>9.14</v>
      </c>
      <c r="I44" s="102">
        <f>11/30*15</f>
        <v>5.5</v>
      </c>
      <c r="J44" s="5"/>
      <c r="K44" s="5"/>
      <c r="L44" s="6">
        <v>25</v>
      </c>
      <c r="M44" s="61">
        <v>11</v>
      </c>
      <c r="N44" s="6">
        <f t="shared" si="1"/>
        <v>9.7999999999999989</v>
      </c>
    </row>
    <row r="45" spans="1:15">
      <c r="A45" s="39" t="s">
        <v>82</v>
      </c>
      <c r="B45" s="28"/>
      <c r="C45" s="36">
        <v>40235</v>
      </c>
      <c r="D45" s="36"/>
      <c r="E45" s="36">
        <v>43901</v>
      </c>
      <c r="F45" s="5"/>
      <c r="G45" s="34"/>
      <c r="H45" s="37">
        <v>9.6</v>
      </c>
      <c r="I45" s="102">
        <f>11/2</f>
        <v>5.5</v>
      </c>
      <c r="J45" s="5"/>
      <c r="K45" s="5"/>
      <c r="L45" s="17">
        <v>25</v>
      </c>
      <c r="M45" s="63">
        <v>11</v>
      </c>
      <c r="N45" s="26">
        <f t="shared" si="1"/>
        <v>9.7999999999999989</v>
      </c>
    </row>
    <row r="46" spans="1:15">
      <c r="A46" s="22" t="s">
        <v>84</v>
      </c>
      <c r="B46" s="22"/>
      <c r="C46" s="35">
        <v>43889</v>
      </c>
      <c r="D46" s="35"/>
      <c r="E46" s="35">
        <v>43903</v>
      </c>
      <c r="F46" s="5"/>
      <c r="G46" s="49"/>
      <c r="H46" s="5">
        <v>9.14</v>
      </c>
      <c r="I46" s="102">
        <f>11/30*15</f>
        <v>5.5</v>
      </c>
      <c r="J46" s="5"/>
      <c r="K46" s="5"/>
      <c r="L46" s="6">
        <v>25</v>
      </c>
      <c r="M46" s="61">
        <v>11</v>
      </c>
      <c r="N46" s="6">
        <f t="shared" si="1"/>
        <v>9.7999999999999989</v>
      </c>
    </row>
    <row r="47" spans="1:15">
      <c r="A47" s="22" t="s">
        <v>80</v>
      </c>
      <c r="B47" s="22"/>
      <c r="C47" s="35">
        <v>43873</v>
      </c>
      <c r="D47" s="35"/>
      <c r="E47" s="35">
        <v>43910</v>
      </c>
      <c r="F47" s="5"/>
      <c r="G47" s="49"/>
      <c r="H47" s="5">
        <v>21.84</v>
      </c>
      <c r="I47" s="102">
        <f>56/30*38</f>
        <v>70.933333333333337</v>
      </c>
      <c r="J47" s="5"/>
      <c r="K47" s="5"/>
      <c r="L47" s="6">
        <v>120</v>
      </c>
      <c r="M47" s="61">
        <v>56</v>
      </c>
      <c r="N47" s="6">
        <f t="shared" si="1"/>
        <v>44.8</v>
      </c>
    </row>
    <row r="48" spans="1:15">
      <c r="A48" s="22" t="s">
        <v>88</v>
      </c>
      <c r="B48" s="22"/>
      <c r="C48" s="35">
        <v>43855</v>
      </c>
      <c r="D48" s="35"/>
      <c r="E48" s="35">
        <v>43941</v>
      </c>
      <c r="F48" s="5"/>
      <c r="G48" s="49"/>
      <c r="H48" s="5">
        <v>13.93</v>
      </c>
      <c r="I48" s="102">
        <f>56/30*85</f>
        <v>158.66666666666666</v>
      </c>
      <c r="J48" s="5"/>
      <c r="K48" s="5"/>
      <c r="L48" s="6">
        <v>110</v>
      </c>
      <c r="M48" s="61">
        <v>56</v>
      </c>
      <c r="N48" s="6">
        <f t="shared" si="1"/>
        <v>37.799999999999997</v>
      </c>
    </row>
    <row r="49" spans="1:16">
      <c r="A49" s="22" t="s">
        <v>90</v>
      </c>
      <c r="B49" s="22"/>
      <c r="C49" s="35" t="s">
        <v>96</v>
      </c>
      <c r="D49" s="35"/>
      <c r="E49" s="35">
        <v>44015</v>
      </c>
      <c r="F49" s="5" t="s">
        <v>160</v>
      </c>
      <c r="G49" s="49">
        <v>12.5</v>
      </c>
      <c r="H49" s="5">
        <v>11.29</v>
      </c>
      <c r="I49" s="102">
        <f>100</f>
        <v>100</v>
      </c>
      <c r="J49" s="5"/>
      <c r="K49" s="5"/>
      <c r="L49" s="6">
        <v>105</v>
      </c>
      <c r="M49" s="61">
        <f>25+11+22</f>
        <v>58</v>
      </c>
      <c r="N49" s="6">
        <f>12.5+(92.5-M49)*0.7</f>
        <v>36.65</v>
      </c>
      <c r="P49" s="41"/>
    </row>
    <row r="50" spans="1:16">
      <c r="A50" s="22" t="s">
        <v>97</v>
      </c>
      <c r="B50" s="22"/>
      <c r="C50" s="35">
        <v>43990</v>
      </c>
      <c r="D50" s="35"/>
      <c r="E50" s="35">
        <v>44036</v>
      </c>
      <c r="F50" s="5"/>
      <c r="G50" s="49"/>
      <c r="H50" s="5">
        <v>8.75</v>
      </c>
      <c r="I50" s="102">
        <f>56/30*46</f>
        <v>85.866666666666674</v>
      </c>
      <c r="J50" s="5"/>
      <c r="K50" s="5"/>
      <c r="L50" s="6">
        <v>110</v>
      </c>
      <c r="M50" s="61">
        <f>45+11</f>
        <v>56</v>
      </c>
      <c r="N50" s="6">
        <f>(L50-M50)*0.7</f>
        <v>37.799999999999997</v>
      </c>
    </row>
    <row r="51" spans="1:16">
      <c r="A51" s="22" t="s">
        <v>95</v>
      </c>
      <c r="B51" s="22"/>
      <c r="C51" s="35">
        <v>44028</v>
      </c>
      <c r="D51" s="35"/>
      <c r="E51" s="35">
        <v>44040</v>
      </c>
      <c r="F51" s="5"/>
      <c r="G51" s="49"/>
      <c r="H51" s="5">
        <v>8.75</v>
      </c>
      <c r="I51" s="102">
        <f>41/30*12</f>
        <v>16.399999999999999</v>
      </c>
      <c r="J51" s="5"/>
      <c r="K51" s="5"/>
      <c r="L51" s="6">
        <v>60</v>
      </c>
      <c r="M51" s="61">
        <v>41</v>
      </c>
      <c r="N51" s="6">
        <f>(L51-M51)*0.7</f>
        <v>13.299999999999999</v>
      </c>
    </row>
    <row r="52" spans="1:16">
      <c r="A52" s="22" t="s">
        <v>94</v>
      </c>
      <c r="B52" s="22"/>
      <c r="C52" s="35">
        <v>44011</v>
      </c>
      <c r="D52" s="35"/>
      <c r="E52" s="35">
        <v>44084</v>
      </c>
      <c r="F52" s="5"/>
      <c r="G52" s="49"/>
      <c r="H52" s="5">
        <v>11.29</v>
      </c>
      <c r="I52" s="102">
        <f>25/30*71</f>
        <v>59.166666666666671</v>
      </c>
      <c r="J52" s="5"/>
      <c r="K52" s="5"/>
      <c r="L52" s="6">
        <v>40</v>
      </c>
      <c r="M52" s="61">
        <v>25</v>
      </c>
      <c r="N52" s="6">
        <f>(L52-M52)*0.7</f>
        <v>10.5</v>
      </c>
    </row>
    <row r="53" spans="1:16">
      <c r="A53" s="2" t="s">
        <v>99</v>
      </c>
      <c r="B53" s="2"/>
      <c r="C53" s="35">
        <v>44084</v>
      </c>
      <c r="D53" s="35"/>
      <c r="E53" s="35">
        <v>44105</v>
      </c>
      <c r="F53" s="5" t="s">
        <v>160</v>
      </c>
      <c r="G53" s="49">
        <v>5</v>
      </c>
      <c r="H53" s="5">
        <v>12.24</v>
      </c>
      <c r="I53" s="102">
        <f>25/30*20</f>
        <v>16.666666666666668</v>
      </c>
      <c r="J53" s="5"/>
      <c r="K53" s="5"/>
      <c r="L53" s="43">
        <v>40</v>
      </c>
      <c r="M53" s="61">
        <v>22</v>
      </c>
      <c r="N53" s="6">
        <f>5+13*0.7</f>
        <v>14.1</v>
      </c>
      <c r="P53" s="41"/>
    </row>
    <row r="54" spans="1:16">
      <c r="A54" s="2" t="s">
        <v>102</v>
      </c>
      <c r="B54" s="2"/>
      <c r="C54" s="4" t="s">
        <v>103</v>
      </c>
      <c r="D54" s="4"/>
      <c r="E54" s="4">
        <v>44110</v>
      </c>
      <c r="F54" s="5" t="s">
        <v>160</v>
      </c>
      <c r="G54" s="49">
        <v>10</v>
      </c>
      <c r="H54" s="5">
        <v>36.65</v>
      </c>
      <c r="I54" s="102">
        <f>115/30*26</f>
        <v>99.666666666666671</v>
      </c>
      <c r="J54" s="5"/>
      <c r="K54" s="5"/>
      <c r="L54" s="6">
        <v>180</v>
      </c>
      <c r="M54" s="61">
        <v>115</v>
      </c>
      <c r="N54" s="6">
        <f>10+55*0.7</f>
        <v>48.5</v>
      </c>
      <c r="P54" s="41"/>
    </row>
    <row r="55" spans="1:16">
      <c r="A55" s="2" t="s">
        <v>94</v>
      </c>
      <c r="B55" s="2"/>
      <c r="C55" s="35">
        <v>44124</v>
      </c>
      <c r="D55" s="35"/>
      <c r="E55" s="35">
        <v>44124</v>
      </c>
      <c r="F55" s="5"/>
      <c r="G55" s="49"/>
      <c r="H55" s="5">
        <v>7.25</v>
      </c>
      <c r="I55" s="102">
        <v>0</v>
      </c>
      <c r="J55" s="5"/>
      <c r="K55" s="5"/>
      <c r="L55" s="6">
        <v>25</v>
      </c>
      <c r="M55" s="61">
        <v>11</v>
      </c>
      <c r="N55" s="6">
        <f>(L55-M55)*0.7</f>
        <v>9.7999999999999989</v>
      </c>
    </row>
    <row r="56" spans="1:16">
      <c r="A56" s="2" t="s">
        <v>100</v>
      </c>
      <c r="B56" s="2"/>
      <c r="C56" s="4">
        <v>44018</v>
      </c>
      <c r="D56" s="4"/>
      <c r="E56" s="4">
        <v>44124</v>
      </c>
      <c r="F56" s="40"/>
      <c r="G56" s="2"/>
      <c r="H56" s="5">
        <v>9.5</v>
      </c>
      <c r="I56" s="102">
        <f>25/30*104</f>
        <v>86.666666666666671</v>
      </c>
      <c r="J56" s="5"/>
      <c r="K56" s="5"/>
      <c r="L56" s="6">
        <v>70</v>
      </c>
      <c r="M56" s="61">
        <v>25</v>
      </c>
      <c r="N56" s="6">
        <f>(L56-M56)*0.7</f>
        <v>31.499999999999996</v>
      </c>
    </row>
    <row r="57" spans="1:16">
      <c r="A57" s="2" t="s">
        <v>101</v>
      </c>
      <c r="B57" s="2"/>
      <c r="C57" s="4">
        <v>44070</v>
      </c>
      <c r="D57" s="4"/>
      <c r="E57" s="4">
        <v>44131</v>
      </c>
      <c r="F57" s="40"/>
      <c r="G57" s="2"/>
      <c r="H57" s="5">
        <v>13.93</v>
      </c>
      <c r="I57" s="102">
        <f>71/30*60</f>
        <v>142</v>
      </c>
      <c r="J57" s="5"/>
      <c r="K57" s="5"/>
      <c r="L57" s="6">
        <v>120</v>
      </c>
      <c r="M57" s="61">
        <f>60+11</f>
        <v>71</v>
      </c>
      <c r="N57" s="6">
        <f>(L57-M57)*0.7</f>
        <v>34.299999999999997</v>
      </c>
    </row>
    <row r="58" spans="1:16">
      <c r="A58" s="22" t="s">
        <v>104</v>
      </c>
      <c r="B58" s="22"/>
      <c r="C58" s="4">
        <v>44159</v>
      </c>
      <c r="D58" s="4"/>
      <c r="E58" s="4">
        <v>44187</v>
      </c>
      <c r="F58" s="40"/>
      <c r="G58" s="2"/>
      <c r="H58" s="5">
        <v>13.93</v>
      </c>
      <c r="I58" s="102">
        <f>36/30*28</f>
        <v>33.6</v>
      </c>
      <c r="J58" s="5"/>
      <c r="K58" s="5"/>
      <c r="L58" s="6">
        <v>110</v>
      </c>
      <c r="M58" s="61">
        <f>25+11</f>
        <v>36</v>
      </c>
      <c r="N58" s="6">
        <f>(L58-M58)*0.7</f>
        <v>51.8</v>
      </c>
    </row>
    <row r="59" spans="1:16">
      <c r="A59" s="22" t="s">
        <v>120</v>
      </c>
      <c r="B59" s="22"/>
      <c r="C59" s="4">
        <v>44169</v>
      </c>
      <c r="D59" s="4"/>
      <c r="E59" s="4">
        <v>44208</v>
      </c>
      <c r="F59" s="5" t="s">
        <v>160</v>
      </c>
      <c r="G59" s="49">
        <v>10</v>
      </c>
      <c r="H59" s="5"/>
      <c r="I59" s="102">
        <f>41/30*38</f>
        <v>51.933333333333337</v>
      </c>
      <c r="J59" s="5"/>
      <c r="K59" s="5"/>
      <c r="L59" s="6">
        <v>70</v>
      </c>
      <c r="M59" s="61">
        <v>45</v>
      </c>
      <c r="N59" s="5">
        <f>10+(60-45)*0.7</f>
        <v>20.5</v>
      </c>
      <c r="O59" s="1" t="s">
        <v>145</v>
      </c>
    </row>
    <row r="60" spans="1:16">
      <c r="A60" s="22" t="s">
        <v>108</v>
      </c>
      <c r="B60" s="22"/>
      <c r="C60" s="4">
        <v>44185</v>
      </c>
      <c r="D60" s="4"/>
      <c r="E60" s="4">
        <v>44242</v>
      </c>
      <c r="F60" s="5" t="s">
        <v>160</v>
      </c>
      <c r="G60" s="49">
        <v>20</v>
      </c>
      <c r="H60" s="5">
        <v>26.48</v>
      </c>
      <c r="I60" s="102">
        <f>50/30*55</f>
        <v>91.666666666666671</v>
      </c>
      <c r="J60" s="5">
        <v>160</v>
      </c>
      <c r="K60" s="5"/>
      <c r="L60" s="6">
        <v>130</v>
      </c>
      <c r="M60" s="61">
        <v>34</v>
      </c>
      <c r="N60" s="5">
        <f>(20+(110-34)*0.7)</f>
        <v>73.199999999999989</v>
      </c>
      <c r="O60" s="1" t="s">
        <v>145</v>
      </c>
    </row>
    <row r="61" spans="1:16">
      <c r="A61" s="22" t="s">
        <v>109</v>
      </c>
      <c r="B61" s="22"/>
      <c r="C61" s="4">
        <v>44209</v>
      </c>
      <c r="D61" s="4"/>
      <c r="E61" s="4">
        <v>44250</v>
      </c>
      <c r="F61" s="5" t="s">
        <v>160</v>
      </c>
      <c r="G61" s="49">
        <v>22.5</v>
      </c>
      <c r="H61" s="5">
        <v>22.83</v>
      </c>
      <c r="I61" s="102">
        <f>100/30*40</f>
        <v>133.33333333333334</v>
      </c>
      <c r="J61" s="5">
        <v>125</v>
      </c>
      <c r="K61" s="5"/>
      <c r="L61" s="6">
        <v>210</v>
      </c>
      <c r="M61" s="61">
        <v>100</v>
      </c>
      <c r="N61" s="6">
        <f>(22.5+87.5*0.7)</f>
        <v>83.75</v>
      </c>
    </row>
    <row r="62" spans="1:16">
      <c r="A62" s="2" t="s">
        <v>113</v>
      </c>
      <c r="B62" s="2"/>
      <c r="C62" s="4">
        <v>44245</v>
      </c>
      <c r="D62" s="4"/>
      <c r="E62" s="4">
        <v>44271</v>
      </c>
      <c r="F62" s="5" t="s">
        <v>160</v>
      </c>
      <c r="G62" s="49">
        <v>15</v>
      </c>
      <c r="H62" s="5">
        <v>26.76</v>
      </c>
      <c r="I62" s="102">
        <f>67/30*28</f>
        <v>62.533333333333331</v>
      </c>
      <c r="J62" s="5"/>
      <c r="K62" s="5"/>
      <c r="L62" s="6">
        <v>140</v>
      </c>
      <c r="M62" s="61">
        <v>67</v>
      </c>
      <c r="N62" s="6">
        <f>(15+0.7*58)</f>
        <v>55.599999999999994</v>
      </c>
    </row>
    <row r="63" spans="1:16">
      <c r="A63" s="2" t="s">
        <v>114</v>
      </c>
      <c r="B63" s="2"/>
      <c r="C63" s="4">
        <v>44222</v>
      </c>
      <c r="D63" s="4"/>
      <c r="E63" s="4">
        <v>44279</v>
      </c>
      <c r="F63" s="5" t="s">
        <v>160</v>
      </c>
      <c r="G63" s="49">
        <v>12.5</v>
      </c>
      <c r="H63" s="5">
        <v>13.4</v>
      </c>
      <c r="I63" s="102">
        <f>56/30*58</f>
        <v>108.26666666666667</v>
      </c>
      <c r="J63" s="5">
        <v>100</v>
      </c>
      <c r="K63" s="5"/>
      <c r="L63" s="6">
        <v>140</v>
      </c>
      <c r="M63" s="61">
        <v>56</v>
      </c>
      <c r="N63" s="5">
        <f>(12.5+71.5*0.7)</f>
        <v>62.55</v>
      </c>
      <c r="O63" s="1" t="s">
        <v>145</v>
      </c>
    </row>
    <row r="64" spans="1:16">
      <c r="A64" s="2" t="s">
        <v>112</v>
      </c>
      <c r="B64" s="2"/>
      <c r="C64" s="4">
        <v>44270</v>
      </c>
      <c r="D64" s="4"/>
      <c r="E64" s="4">
        <v>44286</v>
      </c>
      <c r="F64" s="5" t="s">
        <v>160</v>
      </c>
      <c r="G64" s="49">
        <v>17.5</v>
      </c>
      <c r="H64" s="5">
        <v>31.96</v>
      </c>
      <c r="I64" s="102">
        <f>55/30*16</f>
        <v>29.333333333333332</v>
      </c>
      <c r="J64" s="5">
        <v>75</v>
      </c>
      <c r="K64" s="5"/>
      <c r="L64" s="6">
        <v>100</v>
      </c>
      <c r="M64" s="61">
        <v>55</v>
      </c>
      <c r="N64" s="6">
        <f>(17.5+27.5*0.7)</f>
        <v>36.75</v>
      </c>
    </row>
    <row r="65" spans="1:16">
      <c r="A65" s="22" t="s">
        <v>121</v>
      </c>
      <c r="B65" s="22"/>
      <c r="C65" s="4">
        <v>44316</v>
      </c>
      <c r="D65" s="4"/>
      <c r="E65" s="4">
        <v>44354</v>
      </c>
      <c r="F65" s="40"/>
      <c r="G65" s="2"/>
      <c r="H65" s="5">
        <v>15.15</v>
      </c>
      <c r="I65" s="102">
        <f>36/30*37</f>
        <v>44.4</v>
      </c>
      <c r="J65" s="5"/>
      <c r="K65" s="5"/>
      <c r="L65" s="6">
        <v>110</v>
      </c>
      <c r="M65" s="61">
        <v>36</v>
      </c>
      <c r="N65" s="5">
        <f>(L65-M65)*0.7</f>
        <v>51.8</v>
      </c>
      <c r="O65" s="1" t="s">
        <v>145</v>
      </c>
    </row>
    <row r="66" spans="1:16">
      <c r="A66" s="22" t="s">
        <v>126</v>
      </c>
      <c r="B66" s="22"/>
      <c r="C66" s="4">
        <v>44336</v>
      </c>
      <c r="D66" s="4"/>
      <c r="E66" s="4">
        <v>44370</v>
      </c>
      <c r="F66" s="5" t="s">
        <v>161</v>
      </c>
      <c r="G66" s="49">
        <v>17.5</v>
      </c>
      <c r="H66" s="5">
        <v>35.78</v>
      </c>
      <c r="I66" s="102">
        <f>58/30*33</f>
        <v>63.8</v>
      </c>
      <c r="J66" s="5">
        <v>50</v>
      </c>
      <c r="K66" s="5"/>
      <c r="L66" s="6">
        <v>150</v>
      </c>
      <c r="M66" s="61">
        <v>58</v>
      </c>
      <c r="N66" s="6">
        <f>(17.5+74.5*0.7)</f>
        <v>69.650000000000006</v>
      </c>
    </row>
    <row r="67" spans="1:16">
      <c r="A67" s="44" t="s">
        <v>125</v>
      </c>
      <c r="B67" s="44"/>
      <c r="C67" s="4">
        <v>44342</v>
      </c>
      <c r="D67" s="4"/>
      <c r="E67" s="4">
        <v>44386</v>
      </c>
      <c r="F67" s="5" t="s">
        <v>160</v>
      </c>
      <c r="G67" s="49">
        <v>12.5</v>
      </c>
      <c r="H67" s="5">
        <v>15.46</v>
      </c>
      <c r="I67" s="102">
        <f>36/30*43</f>
        <v>51.6</v>
      </c>
      <c r="J67" s="5">
        <f>50+45</f>
        <v>95</v>
      </c>
      <c r="K67" s="5"/>
      <c r="L67" s="6">
        <v>80</v>
      </c>
      <c r="M67" s="61">
        <v>33</v>
      </c>
      <c r="N67" s="6">
        <f>12.5+(L67-M67-12.5)*0.7</f>
        <v>36.65</v>
      </c>
    </row>
    <row r="68" spans="1:16">
      <c r="A68" s="44" t="s">
        <v>129</v>
      </c>
      <c r="B68" s="44"/>
      <c r="C68" s="4">
        <v>44348</v>
      </c>
      <c r="D68" s="4"/>
      <c r="E68" s="4">
        <v>44389</v>
      </c>
      <c r="F68" s="5" t="s">
        <v>160</v>
      </c>
      <c r="G68" s="49">
        <v>12.5</v>
      </c>
      <c r="H68" s="5">
        <v>26.22</v>
      </c>
      <c r="I68" s="102">
        <f>71/30*42</f>
        <v>99.4</v>
      </c>
      <c r="J68" s="5">
        <f>50+45</f>
        <v>95</v>
      </c>
      <c r="K68" s="5"/>
      <c r="L68" s="6">
        <v>140</v>
      </c>
      <c r="M68" s="61">
        <v>71</v>
      </c>
      <c r="N68" s="6">
        <f>(12.5+(127.5-71)*0.7)</f>
        <v>52.05</v>
      </c>
    </row>
    <row r="69" spans="1:16">
      <c r="A69" s="44" t="s">
        <v>124</v>
      </c>
      <c r="B69" s="44"/>
      <c r="C69" s="4">
        <v>44348</v>
      </c>
      <c r="D69" s="4"/>
      <c r="E69" s="4">
        <v>44389</v>
      </c>
      <c r="F69" s="40"/>
      <c r="G69" s="2"/>
      <c r="H69" s="5">
        <v>11.62</v>
      </c>
      <c r="I69" s="102">
        <f>26/30*42</f>
        <v>36.4</v>
      </c>
      <c r="J69" s="5">
        <v>65</v>
      </c>
      <c r="K69" s="5"/>
      <c r="L69" s="6">
        <v>70</v>
      </c>
      <c r="M69" s="61">
        <v>26</v>
      </c>
      <c r="N69" s="6">
        <f>(70-26)*0.7</f>
        <v>30.799999999999997</v>
      </c>
    </row>
    <row r="70" spans="1:16">
      <c r="A70" s="44" t="s">
        <v>132</v>
      </c>
      <c r="B70" s="44"/>
      <c r="C70" s="4">
        <v>44407</v>
      </c>
      <c r="D70" s="4"/>
      <c r="E70" s="4">
        <v>44461</v>
      </c>
      <c r="F70" s="40"/>
      <c r="G70" s="2"/>
      <c r="H70" s="5">
        <v>9.8800000000000008</v>
      </c>
      <c r="I70" s="102">
        <f>25/30*52</f>
        <v>43.333333333333336</v>
      </c>
      <c r="J70" s="5"/>
      <c r="K70" s="5"/>
      <c r="L70" s="6">
        <v>40</v>
      </c>
      <c r="M70" s="61">
        <v>25</v>
      </c>
      <c r="N70" s="6">
        <f>(L70-M70)*0.7</f>
        <v>10.5</v>
      </c>
    </row>
    <row r="71" spans="1:16">
      <c r="A71" s="44" t="s">
        <v>133</v>
      </c>
      <c r="B71" s="44"/>
      <c r="C71" s="4">
        <v>44432</v>
      </c>
      <c r="D71" s="4"/>
      <c r="E71" s="4">
        <v>44467</v>
      </c>
      <c r="F71" s="40"/>
      <c r="G71" s="2"/>
      <c r="H71" s="5">
        <v>9.8800000000000008</v>
      </c>
      <c r="I71" s="102">
        <f>25/30*34</f>
        <v>28.333333333333336</v>
      </c>
      <c r="J71" s="5"/>
      <c r="K71" s="5"/>
      <c r="L71" s="6">
        <v>40</v>
      </c>
      <c r="M71" s="61">
        <v>25</v>
      </c>
      <c r="N71" s="6">
        <f>(L71-M71)*0.7</f>
        <v>10.5</v>
      </c>
    </row>
    <row r="72" spans="1:16">
      <c r="A72" s="52" t="s">
        <v>141</v>
      </c>
      <c r="B72" s="52"/>
      <c r="C72" s="57">
        <v>44459</v>
      </c>
      <c r="D72" s="57"/>
      <c r="E72" s="57">
        <v>44481</v>
      </c>
      <c r="F72" s="10" t="s">
        <v>161</v>
      </c>
      <c r="G72" s="12">
        <v>10</v>
      </c>
      <c r="H72" s="25">
        <v>15.15</v>
      </c>
      <c r="I72" s="103">
        <f>46/30*22</f>
        <v>33.733333333333334</v>
      </c>
      <c r="J72" s="25">
        <v>80</v>
      </c>
      <c r="K72" s="25"/>
      <c r="L72" s="27">
        <v>120</v>
      </c>
      <c r="M72" s="64">
        <v>46</v>
      </c>
      <c r="N72" s="27">
        <f>10+(120-56)*0.7</f>
        <v>54.8</v>
      </c>
    </row>
    <row r="73" spans="1:16">
      <c r="A73" s="52" t="s">
        <v>140</v>
      </c>
      <c r="B73" s="52"/>
      <c r="C73" s="57">
        <v>44449</v>
      </c>
      <c r="D73" s="57"/>
      <c r="E73" s="57">
        <v>44482</v>
      </c>
      <c r="F73" s="25" t="s">
        <v>160</v>
      </c>
      <c r="G73" s="58">
        <v>10</v>
      </c>
      <c r="H73" s="25">
        <v>13.4</v>
      </c>
      <c r="I73" s="103">
        <f>60/30*33</f>
        <v>66</v>
      </c>
      <c r="J73" s="25">
        <v>80</v>
      </c>
      <c r="K73" s="25"/>
      <c r="L73" s="27">
        <v>120</v>
      </c>
      <c r="M73" s="64">
        <v>61</v>
      </c>
      <c r="N73" s="27">
        <f>(10+49*0.7)</f>
        <v>44.3</v>
      </c>
    </row>
    <row r="74" spans="1:16">
      <c r="A74" s="44" t="s">
        <v>137</v>
      </c>
      <c r="B74" s="44"/>
      <c r="C74" s="35">
        <v>44474</v>
      </c>
      <c r="D74" s="35"/>
      <c r="E74" s="35">
        <v>44487</v>
      </c>
      <c r="F74" s="10" t="s">
        <v>161</v>
      </c>
      <c r="G74" s="12">
        <v>12.5</v>
      </c>
      <c r="H74" s="5">
        <v>15.15</v>
      </c>
      <c r="I74" s="102">
        <f>71/30*13</f>
        <v>30.766666666666666</v>
      </c>
      <c r="J74" s="5">
        <v>95</v>
      </c>
      <c r="K74" s="5"/>
      <c r="L74" s="6">
        <v>140</v>
      </c>
      <c r="M74" s="61">
        <v>71</v>
      </c>
      <c r="N74" s="6">
        <f>12.5+(56.5)*0.7</f>
        <v>52.05</v>
      </c>
    </row>
    <row r="75" spans="1:16">
      <c r="A75" s="44" t="s">
        <v>143</v>
      </c>
      <c r="B75" s="44"/>
      <c r="C75" s="35">
        <v>43717</v>
      </c>
      <c r="D75" s="35"/>
      <c r="E75" s="35">
        <v>44505</v>
      </c>
      <c r="F75" s="40"/>
      <c r="G75" s="49"/>
      <c r="H75" s="5">
        <v>13.4</v>
      </c>
      <c r="I75" s="102">
        <f>36*25+36/30*26</f>
        <v>931.2</v>
      </c>
      <c r="J75" s="5"/>
      <c r="K75" s="5"/>
      <c r="L75" s="6">
        <v>100</v>
      </c>
      <c r="M75" s="61">
        <v>36</v>
      </c>
      <c r="N75" s="6">
        <f>(100-36)*0.7</f>
        <v>44.8</v>
      </c>
    </row>
    <row r="76" spans="1:16">
      <c r="A76" s="44" t="s">
        <v>139</v>
      </c>
      <c r="B76" s="44"/>
      <c r="C76" s="35">
        <v>44492</v>
      </c>
      <c r="D76" s="35"/>
      <c r="E76" s="35">
        <v>44539</v>
      </c>
      <c r="F76" s="40"/>
      <c r="G76" s="49"/>
      <c r="H76" s="5">
        <v>16.350000000000001</v>
      </c>
      <c r="I76" s="102">
        <f>71/30*46</f>
        <v>108.86666666666667</v>
      </c>
      <c r="J76" s="5">
        <v>95</v>
      </c>
      <c r="K76" s="5"/>
      <c r="L76" s="6">
        <v>140</v>
      </c>
      <c r="M76" s="61">
        <v>71</v>
      </c>
      <c r="N76" s="12">
        <f>(140-71)*0.7</f>
        <v>48.3</v>
      </c>
      <c r="O76" s="72" t="s">
        <v>329</v>
      </c>
      <c r="P76" s="72">
        <v>33.81</v>
      </c>
    </row>
    <row r="77" spans="1:16">
      <c r="A77" s="44" t="s">
        <v>144</v>
      </c>
      <c r="B77" s="44"/>
      <c r="C77" s="35">
        <v>44526</v>
      </c>
      <c r="D77" s="35"/>
      <c r="E77" s="35">
        <v>44550</v>
      </c>
      <c r="F77" s="5" t="s">
        <v>160</v>
      </c>
      <c r="G77" s="49">
        <v>12.5</v>
      </c>
      <c r="H77" s="5">
        <v>13.4</v>
      </c>
      <c r="I77" s="102">
        <f>83/30*24</f>
        <v>66.400000000000006</v>
      </c>
      <c r="J77" s="5"/>
      <c r="K77" s="5"/>
      <c r="L77" s="6">
        <v>140</v>
      </c>
      <c r="M77" s="61">
        <v>94</v>
      </c>
      <c r="N77" s="6">
        <f>12.5+(140-12.5-94)*0.7</f>
        <v>35.950000000000003</v>
      </c>
    </row>
    <row r="78" spans="1:16">
      <c r="A78" s="44" t="s">
        <v>149</v>
      </c>
      <c r="B78" s="44"/>
      <c r="C78" s="35">
        <v>44880</v>
      </c>
      <c r="D78" s="35"/>
      <c r="E78" s="35">
        <v>44575</v>
      </c>
      <c r="F78" s="40"/>
      <c r="G78" s="49"/>
      <c r="H78" s="5">
        <v>13.4</v>
      </c>
      <c r="I78" s="102"/>
      <c r="J78" s="5">
        <v>50</v>
      </c>
      <c r="K78" s="5"/>
      <c r="L78" s="6">
        <v>160</v>
      </c>
      <c r="M78" s="61">
        <f>71+9</f>
        <v>80</v>
      </c>
      <c r="N78" s="6">
        <f>(160-80)*0.7</f>
        <v>56</v>
      </c>
    </row>
    <row r="79" spans="1:16">
      <c r="A79" s="44" t="s">
        <v>146</v>
      </c>
      <c r="B79" s="44"/>
      <c r="C79" s="4">
        <v>44586</v>
      </c>
      <c r="D79" s="4"/>
      <c r="E79" s="4">
        <v>44615</v>
      </c>
      <c r="F79" s="10" t="s">
        <v>161</v>
      </c>
      <c r="G79" s="12">
        <v>12.5</v>
      </c>
      <c r="H79" s="5">
        <v>15.46</v>
      </c>
      <c r="I79" s="102">
        <f>27/30*28</f>
        <v>25.2</v>
      </c>
      <c r="J79" s="5">
        <v>110</v>
      </c>
      <c r="K79" s="5"/>
      <c r="L79" s="6">
        <v>154</v>
      </c>
      <c r="M79" s="61">
        <v>62</v>
      </c>
      <c r="N79" s="6">
        <f>12.5+(154-12.5-62)*0.7</f>
        <v>68.150000000000006</v>
      </c>
    </row>
    <row r="80" spans="1:16">
      <c r="A80" s="44" t="s">
        <v>148</v>
      </c>
      <c r="B80" s="44"/>
      <c r="C80" s="4">
        <v>44579</v>
      </c>
      <c r="D80" s="4"/>
      <c r="E80" s="4">
        <v>44594</v>
      </c>
      <c r="F80" s="40"/>
      <c r="G80" s="49"/>
      <c r="H80" s="5">
        <v>13.4</v>
      </c>
      <c r="I80" s="102">
        <f>22/30*14</f>
        <v>10.266666666666666</v>
      </c>
      <c r="J80" s="5">
        <v>30</v>
      </c>
      <c r="K80" s="5"/>
      <c r="L80" s="6">
        <v>50</v>
      </c>
      <c r="M80" s="61">
        <v>22</v>
      </c>
      <c r="N80" s="6">
        <f>(50-22)*0.7</f>
        <v>19.599999999999998</v>
      </c>
    </row>
    <row r="81" spans="1:14">
      <c r="A81" s="44" t="s">
        <v>150</v>
      </c>
      <c r="B81" s="44"/>
      <c r="C81" s="4">
        <v>44899</v>
      </c>
      <c r="D81" s="4"/>
      <c r="E81" s="4">
        <v>44607</v>
      </c>
      <c r="F81" s="12" t="s">
        <v>160</v>
      </c>
      <c r="G81" s="12">
        <v>12.5</v>
      </c>
      <c r="H81" s="5">
        <v>13.4</v>
      </c>
      <c r="I81" s="102">
        <f>71/30*61</f>
        <v>144.36666666666667</v>
      </c>
      <c r="J81" s="5">
        <v>80</v>
      </c>
      <c r="K81" s="5"/>
      <c r="L81" s="6">
        <v>120</v>
      </c>
      <c r="M81" s="61">
        <v>60</v>
      </c>
      <c r="N81" s="6">
        <f>12.5+(120-72.5)*0.7</f>
        <v>45.75</v>
      </c>
    </row>
    <row r="82" spans="1:14">
      <c r="A82" s="44" t="s">
        <v>151</v>
      </c>
      <c r="B82" s="44"/>
      <c r="C82" s="4">
        <v>44926</v>
      </c>
      <c r="D82" s="4"/>
      <c r="E82" s="4">
        <v>44649</v>
      </c>
      <c r="F82" s="40"/>
      <c r="G82" s="40"/>
      <c r="H82" s="5">
        <v>9.0299999999999994</v>
      </c>
      <c r="I82" s="102">
        <f>25*2+25/30*29</f>
        <v>74.166666666666671</v>
      </c>
      <c r="J82" s="5">
        <v>80</v>
      </c>
      <c r="K82" s="5"/>
      <c r="L82" s="6">
        <v>67.5</v>
      </c>
      <c r="M82" s="61">
        <v>25</v>
      </c>
      <c r="N82" s="6">
        <f>(67.5-25)*0.7</f>
        <v>29.749999999999996</v>
      </c>
    </row>
    <row r="83" spans="1:14">
      <c r="A83" s="44" t="s">
        <v>152</v>
      </c>
      <c r="B83" s="44"/>
      <c r="C83" s="4">
        <v>44852</v>
      </c>
      <c r="D83" s="4"/>
      <c r="E83" s="4">
        <v>44649</v>
      </c>
      <c r="F83" s="40"/>
      <c r="G83" s="40"/>
      <c r="H83" s="5">
        <v>9.0299999999999994</v>
      </c>
      <c r="I83" s="102">
        <f>45*4+45/30*13</f>
        <v>199.5</v>
      </c>
      <c r="J83" s="5">
        <v>80</v>
      </c>
      <c r="K83" s="5"/>
      <c r="L83" s="6">
        <v>67.5</v>
      </c>
      <c r="M83" s="61">
        <v>45</v>
      </c>
      <c r="N83" s="6">
        <f>(L83-M83)*0.7</f>
        <v>15.749999999999998</v>
      </c>
    </row>
    <row r="84" spans="1:14">
      <c r="A84" s="44" t="s">
        <v>153</v>
      </c>
      <c r="B84" s="44"/>
      <c r="C84" s="4">
        <v>44623</v>
      </c>
      <c r="D84" s="4"/>
      <c r="E84" s="4">
        <v>44623</v>
      </c>
      <c r="F84" s="40"/>
      <c r="G84" s="40"/>
      <c r="H84" s="5">
        <v>11.03</v>
      </c>
      <c r="I84" s="102">
        <v>0</v>
      </c>
      <c r="J84" s="5">
        <v>15</v>
      </c>
      <c r="K84" s="5"/>
      <c r="L84" s="6">
        <v>30</v>
      </c>
      <c r="M84" s="61">
        <v>12</v>
      </c>
      <c r="N84" s="6">
        <f>(L84-M84)*0.7</f>
        <v>12.6</v>
      </c>
    </row>
    <row r="85" spans="1:14">
      <c r="A85" s="44" t="s">
        <v>154</v>
      </c>
      <c r="B85" s="44"/>
      <c r="C85" s="4">
        <v>44881</v>
      </c>
      <c r="D85" s="4"/>
      <c r="E85" s="4">
        <v>44628</v>
      </c>
      <c r="F85" s="40"/>
      <c r="G85" s="40"/>
      <c r="H85" s="5">
        <v>9.0299999999999994</v>
      </c>
      <c r="I85" s="102">
        <f>65*3+65/30*22</f>
        <v>242.66666666666666</v>
      </c>
      <c r="J85" s="5">
        <v>95</v>
      </c>
      <c r="K85" s="5"/>
      <c r="L85" s="6">
        <v>112</v>
      </c>
      <c r="M85" s="61">
        <v>65</v>
      </c>
      <c r="N85" s="6">
        <f>(L85-M85)*0.7</f>
        <v>32.9</v>
      </c>
    </row>
    <row r="86" spans="1:14">
      <c r="A86" s="44" t="s">
        <v>155</v>
      </c>
      <c r="B86" s="44"/>
      <c r="C86" s="4">
        <v>44490</v>
      </c>
      <c r="D86" s="4"/>
      <c r="E86" s="4">
        <v>44648</v>
      </c>
      <c r="F86" s="40"/>
      <c r="G86" s="40"/>
      <c r="H86" s="5">
        <v>13.4</v>
      </c>
      <c r="I86" s="102">
        <f>45*5+45/30*7</f>
        <v>235.5</v>
      </c>
      <c r="J86" s="5">
        <v>80</v>
      </c>
      <c r="K86" s="5"/>
      <c r="L86" s="6">
        <v>67.5</v>
      </c>
      <c r="M86" s="61">
        <v>45</v>
      </c>
      <c r="N86" s="6">
        <f>(L86-M86)*0.7</f>
        <v>15.749999999999998</v>
      </c>
    </row>
    <row r="87" spans="1:14">
      <c r="A87" s="44" t="s">
        <v>156</v>
      </c>
      <c r="B87" s="44"/>
      <c r="C87" s="4">
        <v>44489</v>
      </c>
      <c r="D87" s="4"/>
      <c r="E87" s="4">
        <v>44651</v>
      </c>
      <c r="F87" s="40"/>
      <c r="G87" s="40"/>
      <c r="H87" s="5">
        <v>15.46</v>
      </c>
      <c r="I87" s="102">
        <f>50*5+50/10</f>
        <v>255</v>
      </c>
      <c r="J87" s="5">
        <v>145</v>
      </c>
      <c r="K87" s="5"/>
      <c r="L87" s="6">
        <v>125</v>
      </c>
      <c r="M87" s="61">
        <v>50</v>
      </c>
      <c r="N87" s="6">
        <f>(L87-M87)*0.7</f>
        <v>52.5</v>
      </c>
    </row>
    <row r="88" spans="1:14">
      <c r="A88" s="44" t="s">
        <v>157</v>
      </c>
      <c r="B88" s="44"/>
      <c r="C88" s="4">
        <v>44627</v>
      </c>
      <c r="D88" s="4"/>
      <c r="E88" s="4">
        <v>44627</v>
      </c>
      <c r="F88" s="10" t="s">
        <v>161</v>
      </c>
      <c r="G88" s="12">
        <v>10</v>
      </c>
      <c r="H88" s="5">
        <v>15.46</v>
      </c>
      <c r="I88" s="102">
        <v>0</v>
      </c>
      <c r="J88" s="5">
        <v>0</v>
      </c>
      <c r="K88" s="5"/>
      <c r="L88" s="6">
        <v>100</v>
      </c>
      <c r="M88" s="61">
        <v>44</v>
      </c>
      <c r="N88" s="6">
        <f>10+(46)*0.7</f>
        <v>42.199999999999996</v>
      </c>
    </row>
    <row r="89" spans="1:14">
      <c r="A89" s="44" t="s">
        <v>158</v>
      </c>
      <c r="B89" s="44"/>
      <c r="C89" s="4">
        <v>44627</v>
      </c>
      <c r="D89" s="4"/>
      <c r="E89" s="4">
        <v>44627</v>
      </c>
      <c r="F89" s="10" t="s">
        <v>161</v>
      </c>
      <c r="G89" s="12">
        <v>12.5</v>
      </c>
      <c r="H89" s="5">
        <v>15.46</v>
      </c>
      <c r="I89" s="102">
        <v>0</v>
      </c>
      <c r="J89" s="5">
        <v>0</v>
      </c>
      <c r="K89" s="5"/>
      <c r="L89" s="6">
        <v>125</v>
      </c>
      <c r="M89" s="61">
        <v>55</v>
      </c>
      <c r="N89" s="6">
        <f>12.5+(57.5)*0.7</f>
        <v>52.75</v>
      </c>
    </row>
    <row r="90" spans="1:14">
      <c r="A90" s="44" t="s">
        <v>171</v>
      </c>
      <c r="B90" s="44"/>
      <c r="C90" s="4">
        <v>44648</v>
      </c>
      <c r="D90" s="4"/>
      <c r="E90" s="4">
        <v>44734</v>
      </c>
      <c r="F90" s="40"/>
      <c r="G90" s="5"/>
      <c r="H90" s="5">
        <v>13.72</v>
      </c>
      <c r="I90" s="102">
        <f>56/30*84</f>
        <v>156.80000000000001</v>
      </c>
      <c r="J90" s="5">
        <v>95</v>
      </c>
      <c r="K90" s="5"/>
      <c r="L90" s="6">
        <v>140</v>
      </c>
      <c r="M90" s="61">
        <v>56</v>
      </c>
      <c r="N90" s="6">
        <f>(140-56)*0.7</f>
        <v>58.8</v>
      </c>
    </row>
    <row r="91" spans="1:14">
      <c r="A91" s="44" t="s">
        <v>172</v>
      </c>
      <c r="B91" s="44"/>
      <c r="C91" s="4">
        <v>44705</v>
      </c>
      <c r="D91" s="4"/>
      <c r="E91" s="4">
        <v>44715</v>
      </c>
      <c r="F91" s="40"/>
      <c r="G91" s="5"/>
      <c r="H91" s="5">
        <v>10.039999999999999</v>
      </c>
      <c r="I91" s="102">
        <f>25/30*9</f>
        <v>7.5</v>
      </c>
      <c r="J91" s="5"/>
      <c r="K91" s="5"/>
      <c r="L91" s="6">
        <v>50</v>
      </c>
      <c r="M91" s="61">
        <v>25</v>
      </c>
      <c r="N91" s="6">
        <f>(50-25)*0.7</f>
        <v>17.5</v>
      </c>
    </row>
    <row r="92" spans="1:14">
      <c r="A92" s="44" t="s">
        <v>173</v>
      </c>
      <c r="B92" s="44"/>
      <c r="C92" s="4">
        <v>44704</v>
      </c>
      <c r="D92" s="4"/>
      <c r="E92" s="4">
        <v>44721</v>
      </c>
      <c r="F92" s="10" t="s">
        <v>161</v>
      </c>
      <c r="G92" s="56">
        <v>12.5</v>
      </c>
      <c r="H92" s="5">
        <v>13.72</v>
      </c>
      <c r="I92" s="102">
        <f>37/30*16</f>
        <v>19.733333333333334</v>
      </c>
      <c r="J92" s="5">
        <f>50+45</f>
        <v>95</v>
      </c>
      <c r="K92" s="5"/>
      <c r="L92" s="6">
        <v>110</v>
      </c>
      <c r="M92" s="61">
        <v>37</v>
      </c>
      <c r="N92" s="56">
        <f>12.5+(97.5-37)*0.7</f>
        <v>54.849999999999994</v>
      </c>
    </row>
    <row r="93" spans="1:14">
      <c r="A93" s="44" t="s">
        <v>174</v>
      </c>
      <c r="B93" s="44"/>
      <c r="C93" s="4">
        <v>44715</v>
      </c>
      <c r="D93" s="4"/>
      <c r="E93" s="4">
        <v>44820</v>
      </c>
      <c r="F93" s="10" t="s">
        <v>161</v>
      </c>
      <c r="G93" s="56">
        <v>15</v>
      </c>
      <c r="H93" s="5">
        <v>14.6</v>
      </c>
      <c r="I93" s="102">
        <f>56/30*103</f>
        <v>192.26666666666668</v>
      </c>
      <c r="J93" s="5">
        <v>50</v>
      </c>
      <c r="K93" s="5"/>
      <c r="L93" s="6">
        <f>130</f>
        <v>130</v>
      </c>
      <c r="M93" s="61">
        <v>56</v>
      </c>
      <c r="N93" s="56">
        <f>15+(115-56)*0.7</f>
        <v>56.3</v>
      </c>
    </row>
    <row r="94" spans="1:14">
      <c r="A94" s="44" t="s">
        <v>183</v>
      </c>
      <c r="B94" s="44"/>
      <c r="C94" s="4">
        <v>44749</v>
      </c>
      <c r="D94" s="4">
        <v>44830</v>
      </c>
      <c r="E94" s="4">
        <v>44858</v>
      </c>
      <c r="F94" s="40"/>
      <c r="G94" s="5"/>
      <c r="H94" s="5">
        <v>11.03</v>
      </c>
      <c r="I94" s="102">
        <v>25</v>
      </c>
      <c r="J94" s="5">
        <v>15</v>
      </c>
      <c r="K94" s="5"/>
      <c r="L94" s="6">
        <v>80</v>
      </c>
      <c r="M94" s="61">
        <v>25</v>
      </c>
      <c r="N94" s="6">
        <f>55*0.7</f>
        <v>38.5</v>
      </c>
    </row>
    <row r="95" spans="1:14">
      <c r="A95" s="44" t="s">
        <v>184</v>
      </c>
      <c r="B95" s="44"/>
      <c r="C95" s="4">
        <v>44775</v>
      </c>
      <c r="D95" s="4">
        <v>44810</v>
      </c>
      <c r="E95" s="4">
        <v>44848</v>
      </c>
      <c r="F95" s="40"/>
      <c r="G95" s="5"/>
      <c r="H95" s="5">
        <v>23.38</v>
      </c>
      <c r="I95" s="102">
        <f>100/30*38</f>
        <v>126.66666666666667</v>
      </c>
      <c r="J95" s="5">
        <v>155</v>
      </c>
      <c r="K95" s="5"/>
      <c r="L95" s="6">
        <v>220</v>
      </c>
      <c r="M95" s="61">
        <v>100</v>
      </c>
      <c r="N95" s="6">
        <v>90.75</v>
      </c>
    </row>
    <row r="96" spans="1:14">
      <c r="A96" s="44" t="s">
        <v>185</v>
      </c>
      <c r="B96" s="44"/>
      <c r="C96" s="4">
        <v>44830</v>
      </c>
      <c r="D96" s="4">
        <v>44852</v>
      </c>
      <c r="E96" s="4">
        <v>44858</v>
      </c>
      <c r="F96" s="10" t="s">
        <v>161</v>
      </c>
      <c r="G96" s="12">
        <v>15</v>
      </c>
      <c r="H96" s="5">
        <v>23.38</v>
      </c>
      <c r="I96" s="102">
        <f>54.5/30*6</f>
        <v>10.9</v>
      </c>
      <c r="J96" s="5">
        <v>95</v>
      </c>
      <c r="K96" s="5"/>
      <c r="L96" s="6">
        <v>160</v>
      </c>
      <c r="M96" s="61">
        <v>64.5</v>
      </c>
      <c r="N96" s="6">
        <f>15+(145-64.5)*0.7</f>
        <v>71.349999999999994</v>
      </c>
    </row>
    <row r="97" spans="1:16">
      <c r="A97" s="44" t="s">
        <v>190</v>
      </c>
      <c r="B97" s="44"/>
      <c r="C97" s="4"/>
      <c r="D97" s="4">
        <v>44879</v>
      </c>
      <c r="E97" s="35">
        <v>44887</v>
      </c>
      <c r="F97" s="44" t="s">
        <v>161</v>
      </c>
      <c r="G97" s="56">
        <v>10</v>
      </c>
      <c r="H97" s="5">
        <v>14.6</v>
      </c>
      <c r="I97" s="102">
        <f>34/30*8</f>
        <v>9.0666666666666664</v>
      </c>
      <c r="J97" s="5">
        <v>45</v>
      </c>
      <c r="K97" s="5"/>
      <c r="L97" s="6">
        <v>90</v>
      </c>
      <c r="M97" s="61">
        <v>34</v>
      </c>
      <c r="N97" s="56">
        <f>10+(80-34)*0.7</f>
        <v>42.199999999999996</v>
      </c>
    </row>
    <row r="98" spans="1:16">
      <c r="A98" s="44" t="s">
        <v>193</v>
      </c>
      <c r="B98" s="44"/>
      <c r="C98" s="4">
        <v>44872</v>
      </c>
      <c r="D98" s="4">
        <v>44879</v>
      </c>
      <c r="E98" s="35">
        <v>44882</v>
      </c>
      <c r="F98" s="40"/>
      <c r="G98" s="5"/>
      <c r="H98" s="5">
        <v>10.039999999999999</v>
      </c>
      <c r="I98" s="102">
        <f>25/30*3</f>
        <v>2.5</v>
      </c>
      <c r="J98" s="5"/>
      <c r="K98" s="5"/>
      <c r="L98" s="6">
        <v>40</v>
      </c>
      <c r="M98" s="61">
        <v>25</v>
      </c>
      <c r="N98" s="6">
        <f>(L98-M98)*0.7</f>
        <v>10.5</v>
      </c>
    </row>
    <row r="99" spans="1:16">
      <c r="A99" s="44" t="s">
        <v>213</v>
      </c>
      <c r="B99" s="44"/>
      <c r="C99" s="4">
        <v>44894</v>
      </c>
      <c r="D99" s="4">
        <v>44908</v>
      </c>
      <c r="E99" s="35">
        <v>44944</v>
      </c>
      <c r="F99" s="40" t="s">
        <v>161</v>
      </c>
      <c r="G99" s="5">
        <v>15</v>
      </c>
      <c r="H99" s="5">
        <v>31.72</v>
      </c>
      <c r="I99" s="102">
        <f>50/30*35</f>
        <v>58.333333333333336</v>
      </c>
      <c r="J99" s="5">
        <f>60+50</f>
        <v>110</v>
      </c>
      <c r="K99" s="5"/>
      <c r="L99" s="6">
        <v>130</v>
      </c>
      <c r="M99" s="61">
        <f>19+2+3.5*2+11*2</f>
        <v>50</v>
      </c>
      <c r="N99" s="94">
        <f>15+(L99-M99-15)*0.7</f>
        <v>60.5</v>
      </c>
    </row>
    <row r="100" spans="1:16">
      <c r="A100" s="44" t="s">
        <v>227</v>
      </c>
      <c r="B100" s="44"/>
      <c r="C100" s="4">
        <v>44949</v>
      </c>
      <c r="D100" s="4">
        <v>44953</v>
      </c>
      <c r="E100" s="35">
        <v>44966</v>
      </c>
      <c r="F100" s="40" t="s">
        <v>160</v>
      </c>
      <c r="G100" s="5">
        <v>15</v>
      </c>
      <c r="H100" s="5">
        <v>16.38</v>
      </c>
      <c r="I100" s="102">
        <f>61.5/30*12</f>
        <v>24.599999999999998</v>
      </c>
      <c r="J100" s="5">
        <f>50+60</f>
        <v>110</v>
      </c>
      <c r="K100" s="5"/>
      <c r="L100" s="6">
        <v>160</v>
      </c>
      <c r="M100" s="65">
        <f>32.5+7+22</f>
        <v>61.5</v>
      </c>
      <c r="N100" s="59">
        <f>15+(L100-M100-15)*0.7</f>
        <v>73.449999999999989</v>
      </c>
    </row>
    <row r="101" spans="1:16">
      <c r="A101" s="44" t="s">
        <v>228</v>
      </c>
      <c r="B101" s="44"/>
      <c r="C101" s="4">
        <v>44957</v>
      </c>
      <c r="D101" s="4">
        <v>44957</v>
      </c>
      <c r="E101" s="35">
        <v>44977</v>
      </c>
      <c r="F101" s="40"/>
      <c r="G101" s="5"/>
      <c r="H101" s="5">
        <v>20.61</v>
      </c>
      <c r="I101" s="102">
        <f>66/30*20</f>
        <v>44</v>
      </c>
      <c r="J101" s="5">
        <v>90</v>
      </c>
      <c r="K101" s="5"/>
      <c r="L101" s="6">
        <v>155</v>
      </c>
      <c r="M101" s="65">
        <v>54</v>
      </c>
      <c r="N101" s="59">
        <f>(L101-M101)*0.7</f>
        <v>70.699999999999989</v>
      </c>
    </row>
    <row r="102" spans="1:16">
      <c r="A102" s="44" t="s">
        <v>255</v>
      </c>
      <c r="B102" s="44"/>
      <c r="C102" s="35">
        <v>44691</v>
      </c>
      <c r="D102" s="35">
        <v>44994</v>
      </c>
      <c r="E102" s="4">
        <v>44994</v>
      </c>
      <c r="F102" s="40"/>
      <c r="G102" s="40"/>
      <c r="H102" s="5">
        <v>11.03</v>
      </c>
      <c r="I102" s="102">
        <f>25*14</f>
        <v>350</v>
      </c>
      <c r="J102" s="40">
        <f>30+50</f>
        <v>80</v>
      </c>
      <c r="K102" s="40"/>
      <c r="L102" s="6">
        <v>90</v>
      </c>
      <c r="M102" s="6">
        <v>25</v>
      </c>
      <c r="N102" s="59">
        <v>48.5</v>
      </c>
    </row>
    <row r="103" spans="1:16">
      <c r="A103" s="44" t="s">
        <v>187</v>
      </c>
      <c r="B103" s="44"/>
      <c r="C103" s="35"/>
      <c r="D103" s="35">
        <v>44991</v>
      </c>
      <c r="E103" s="4">
        <v>44991</v>
      </c>
      <c r="F103" s="40"/>
      <c r="G103" s="40"/>
      <c r="H103" s="5">
        <v>13.31</v>
      </c>
      <c r="I103" s="102"/>
      <c r="J103" s="40">
        <v>45</v>
      </c>
      <c r="K103" s="40"/>
      <c r="L103" s="6">
        <v>80</v>
      </c>
      <c r="M103" s="6">
        <v>27</v>
      </c>
      <c r="N103" s="59">
        <f>(L103-M103)*0.7</f>
        <v>37.099999999999994</v>
      </c>
    </row>
    <row r="104" spans="1:16">
      <c r="A104" s="76" t="s">
        <v>276</v>
      </c>
      <c r="B104" s="44"/>
      <c r="C104" s="35">
        <v>45061</v>
      </c>
      <c r="D104" s="35">
        <v>45070</v>
      </c>
      <c r="E104" s="4"/>
      <c r="F104" s="40"/>
      <c r="G104" s="40"/>
      <c r="H104" s="5">
        <v>11.48</v>
      </c>
      <c r="I104" s="102">
        <f>21/30*9</f>
        <v>6.3</v>
      </c>
      <c r="J104" s="40"/>
      <c r="K104" s="40"/>
      <c r="L104" s="17">
        <f>50</f>
        <v>50</v>
      </c>
      <c r="M104" s="18">
        <v>21</v>
      </c>
      <c r="N104" s="70">
        <f>(50-21)*0.7</f>
        <v>20.299999999999997</v>
      </c>
    </row>
    <row r="105" spans="1:16">
      <c r="A105" s="76" t="s">
        <v>279</v>
      </c>
      <c r="B105" s="44"/>
      <c r="C105" s="35">
        <v>45065</v>
      </c>
      <c r="D105" s="35">
        <v>45070</v>
      </c>
      <c r="E105" s="4"/>
      <c r="F105" s="40"/>
      <c r="G105" s="40"/>
      <c r="H105" s="5">
        <v>11.48</v>
      </c>
      <c r="I105" s="102">
        <f>21/30*5</f>
        <v>3.5</v>
      </c>
      <c r="J105" s="40"/>
      <c r="K105" s="40"/>
      <c r="L105" s="17">
        <f>50</f>
        <v>50</v>
      </c>
      <c r="M105" s="18">
        <v>21</v>
      </c>
      <c r="N105" s="70">
        <f>(50-21)*0.7</f>
        <v>20.299999999999997</v>
      </c>
    </row>
    <row r="106" spans="1:16">
      <c r="A106" s="76" t="s">
        <v>278</v>
      </c>
      <c r="B106" s="52"/>
      <c r="C106" s="57">
        <v>44973</v>
      </c>
      <c r="D106" s="57">
        <v>45070</v>
      </c>
      <c r="E106" s="24"/>
      <c r="F106" s="48"/>
      <c r="G106" s="48"/>
      <c r="H106" s="25">
        <v>11.48</v>
      </c>
      <c r="I106" s="103">
        <f>21/30*98</f>
        <v>68.599999999999994</v>
      </c>
      <c r="J106" s="48"/>
      <c r="K106" s="48"/>
      <c r="L106" s="17">
        <v>50</v>
      </c>
      <c r="M106" s="26">
        <v>21</v>
      </c>
      <c r="N106" s="85">
        <f>(50-21)*0.7</f>
        <v>20.299999999999997</v>
      </c>
    </row>
    <row r="107" spans="1:16">
      <c r="A107" s="44" t="s">
        <v>289</v>
      </c>
      <c r="B107" s="44"/>
      <c r="C107" s="35">
        <v>45110</v>
      </c>
      <c r="D107" s="35">
        <v>45127</v>
      </c>
      <c r="E107" s="4">
        <v>45110</v>
      </c>
      <c r="F107" s="40"/>
      <c r="G107" s="40"/>
      <c r="H107" s="5">
        <v>13.31</v>
      </c>
      <c r="I107" s="102">
        <f>27/30*17</f>
        <v>15.3</v>
      </c>
      <c r="J107" s="40">
        <v>45</v>
      </c>
      <c r="K107" s="40"/>
      <c r="L107" s="6">
        <v>75</v>
      </c>
      <c r="M107" s="6">
        <v>27</v>
      </c>
      <c r="N107" s="59">
        <f>(L107-M107)*0.7</f>
        <v>33.599999999999994</v>
      </c>
    </row>
    <row r="108" spans="1:16">
      <c r="A108" s="44" t="s">
        <v>292</v>
      </c>
      <c r="B108" s="44"/>
      <c r="C108" s="35">
        <v>45138</v>
      </c>
      <c r="D108" s="35">
        <v>45139</v>
      </c>
      <c r="E108" s="35">
        <v>45162</v>
      </c>
      <c r="F108" s="40"/>
      <c r="G108" s="40"/>
      <c r="H108" s="5">
        <v>12.48</v>
      </c>
      <c r="I108" s="102">
        <f>27/30*23</f>
        <v>20.7</v>
      </c>
      <c r="J108" s="40">
        <v>45</v>
      </c>
      <c r="K108" s="40"/>
      <c r="L108" s="6">
        <v>90</v>
      </c>
      <c r="M108" s="6">
        <v>27</v>
      </c>
      <c r="N108" s="59">
        <f>(L108-M108)*0.7</f>
        <v>44.099999999999994</v>
      </c>
    </row>
    <row r="109" spans="1:16">
      <c r="A109" s="44" t="s">
        <v>293</v>
      </c>
      <c r="B109" s="44"/>
      <c r="C109" s="35">
        <v>45086</v>
      </c>
      <c r="D109" s="35">
        <v>45089</v>
      </c>
      <c r="E109" s="4">
        <v>45103</v>
      </c>
      <c r="F109" s="40"/>
      <c r="G109" s="40"/>
      <c r="H109" s="5">
        <v>11.03</v>
      </c>
      <c r="I109" s="102">
        <f>21/30*14</f>
        <v>9.7999999999999989</v>
      </c>
      <c r="J109" s="40"/>
      <c r="K109" s="40"/>
      <c r="L109" s="6">
        <v>50</v>
      </c>
      <c r="M109" s="6">
        <v>21</v>
      </c>
      <c r="N109" s="59">
        <f>(L109-M109)*0.7</f>
        <v>20.299999999999997</v>
      </c>
    </row>
    <row r="110" spans="1:16">
      <c r="A110" s="44" t="s">
        <v>295</v>
      </c>
      <c r="B110" s="44"/>
      <c r="C110" s="35">
        <v>45228</v>
      </c>
      <c r="D110" s="35">
        <v>45203</v>
      </c>
      <c r="E110" s="4"/>
      <c r="F110" s="40"/>
      <c r="G110" s="40"/>
      <c r="H110" s="5">
        <v>13.31</v>
      </c>
      <c r="I110" s="102">
        <f>27/30*5</f>
        <v>4.5</v>
      </c>
      <c r="J110" s="40">
        <v>45</v>
      </c>
      <c r="K110" s="40"/>
      <c r="L110" s="6">
        <v>80</v>
      </c>
      <c r="M110" s="6">
        <v>27</v>
      </c>
      <c r="N110" s="59">
        <f>(L110-M110)*0.7</f>
        <v>37.099999999999994</v>
      </c>
    </row>
    <row r="111" spans="1:16">
      <c r="A111" s="44" t="s">
        <v>320</v>
      </c>
      <c r="B111" s="44"/>
      <c r="C111" s="35">
        <v>45177</v>
      </c>
      <c r="D111" s="35">
        <v>45196</v>
      </c>
      <c r="E111" s="4"/>
      <c r="F111" s="40"/>
      <c r="G111" s="40"/>
      <c r="H111" s="5">
        <v>10.44</v>
      </c>
      <c r="I111" s="102">
        <f>38/30*21</f>
        <v>26.599999999999998</v>
      </c>
      <c r="J111" s="40"/>
      <c r="K111" s="40"/>
      <c r="L111" s="6">
        <v>69</v>
      </c>
      <c r="M111" s="6">
        <v>38</v>
      </c>
      <c r="N111" s="59">
        <f>(69-38)*0.7</f>
        <v>21.7</v>
      </c>
    </row>
    <row r="112" spans="1:16">
      <c r="A112" s="44" t="s">
        <v>325</v>
      </c>
      <c r="B112" s="44"/>
      <c r="C112" s="35"/>
      <c r="D112" s="35">
        <v>45223</v>
      </c>
      <c r="E112" s="4">
        <v>45239</v>
      </c>
      <c r="F112" s="40"/>
      <c r="G112" s="40"/>
      <c r="H112" s="5">
        <v>40</v>
      </c>
      <c r="I112" s="102">
        <f>43/30*15</f>
        <v>21.5</v>
      </c>
      <c r="J112" s="40"/>
      <c r="K112" s="40"/>
      <c r="L112" s="6">
        <v>69</v>
      </c>
      <c r="M112" s="6">
        <v>43</v>
      </c>
      <c r="N112" s="94">
        <f>(69-43)*0.7</f>
        <v>18.2</v>
      </c>
      <c r="O112" s="72" t="s">
        <v>329</v>
      </c>
      <c r="P112" s="72">
        <v>12.74</v>
      </c>
    </row>
    <row r="113" spans="1:15">
      <c r="A113" s="44" t="s">
        <v>326</v>
      </c>
      <c r="B113" s="44"/>
      <c r="C113" s="35"/>
      <c r="D113" s="35">
        <v>45188</v>
      </c>
      <c r="E113" s="4">
        <v>45209</v>
      </c>
      <c r="F113" s="40"/>
      <c r="G113" s="40"/>
      <c r="H113" s="5">
        <v>11.48</v>
      </c>
      <c r="I113" s="102"/>
      <c r="J113" s="40"/>
      <c r="K113" s="40"/>
      <c r="L113" s="6">
        <v>59</v>
      </c>
      <c r="M113" s="6">
        <v>38</v>
      </c>
      <c r="N113" s="59">
        <f>(L113-M113)*0.7</f>
        <v>14.7</v>
      </c>
    </row>
    <row r="114" spans="1:15">
      <c r="A114" s="44" t="s">
        <v>108</v>
      </c>
      <c r="B114" s="44"/>
      <c r="C114" s="35"/>
      <c r="D114" s="35">
        <v>45231</v>
      </c>
      <c r="E114" s="4">
        <v>45231</v>
      </c>
      <c r="F114" s="40"/>
      <c r="G114" s="40"/>
      <c r="H114" s="5"/>
      <c r="I114" s="102"/>
      <c r="J114" s="40"/>
      <c r="K114" s="40"/>
      <c r="L114" s="6">
        <v>69</v>
      </c>
      <c r="M114" s="6">
        <v>43</v>
      </c>
      <c r="N114" s="59">
        <f>(L114-M114)*0.7</f>
        <v>18.2</v>
      </c>
    </row>
    <row r="115" spans="1:15">
      <c r="A115" s="44" t="s">
        <v>327</v>
      </c>
      <c r="B115" s="44"/>
      <c r="C115" s="35"/>
      <c r="D115" s="35"/>
      <c r="E115" s="4">
        <v>45127</v>
      </c>
      <c r="F115" s="40"/>
      <c r="G115" s="40"/>
      <c r="H115" s="5">
        <v>11.48</v>
      </c>
      <c r="I115" s="102"/>
      <c r="J115" s="40"/>
      <c r="K115" s="40"/>
      <c r="L115" s="6">
        <v>25</v>
      </c>
      <c r="M115" s="6">
        <v>9</v>
      </c>
      <c r="N115" s="59">
        <f>(L115-M115)*0.7</f>
        <v>11.2</v>
      </c>
    </row>
    <row r="116" spans="1:15">
      <c r="A116" s="44" t="s">
        <v>336</v>
      </c>
      <c r="B116" s="44"/>
      <c r="C116" s="35"/>
      <c r="D116" s="35">
        <v>45278</v>
      </c>
      <c r="E116" s="4">
        <v>45278</v>
      </c>
      <c r="F116" s="40"/>
      <c r="G116" s="40"/>
      <c r="H116" s="5"/>
      <c r="I116" s="102"/>
      <c r="J116" s="40"/>
      <c r="K116" s="40"/>
      <c r="L116" s="6">
        <v>69</v>
      </c>
      <c r="M116" s="6">
        <v>43</v>
      </c>
      <c r="N116" s="59">
        <f>(69-43)*0.7/30*42</f>
        <v>25.48</v>
      </c>
    </row>
    <row r="117" spans="1:15">
      <c r="A117" s="44" t="s">
        <v>337</v>
      </c>
      <c r="B117" s="44"/>
      <c r="C117" s="35">
        <v>45342</v>
      </c>
      <c r="D117" s="35">
        <v>44977</v>
      </c>
      <c r="E117" s="4">
        <v>45342</v>
      </c>
      <c r="F117" s="40"/>
      <c r="G117" s="40"/>
      <c r="H117" s="5">
        <v>13.78</v>
      </c>
      <c r="I117" s="102"/>
      <c r="J117" s="40">
        <f>45+50</f>
        <v>95</v>
      </c>
      <c r="K117" s="40"/>
      <c r="L117" s="6">
        <v>100</v>
      </c>
      <c r="M117" s="6">
        <v>38.5</v>
      </c>
      <c r="N117" s="59">
        <f t="shared" ref="N117:N123" si="2">(L117-M117)*0.7</f>
        <v>43.05</v>
      </c>
    </row>
    <row r="118" spans="1:15">
      <c r="A118" s="44" t="s">
        <v>338</v>
      </c>
      <c r="B118" s="44"/>
      <c r="C118" s="35">
        <v>45271</v>
      </c>
      <c r="D118" s="35"/>
      <c r="E118" s="4">
        <v>45301</v>
      </c>
      <c r="F118" s="40"/>
      <c r="G118" s="40"/>
      <c r="H118" s="5">
        <v>14.26</v>
      </c>
      <c r="I118" s="102">
        <f>25/30*29</f>
        <v>24.166666666666668</v>
      </c>
      <c r="J118" s="40">
        <f>30+50</f>
        <v>80</v>
      </c>
      <c r="K118" s="40"/>
      <c r="L118" s="6">
        <v>80</v>
      </c>
      <c r="M118" s="6">
        <v>29</v>
      </c>
      <c r="N118" s="59">
        <f t="shared" si="2"/>
        <v>35.699999999999996</v>
      </c>
      <c r="O118" t="s">
        <v>339</v>
      </c>
    </row>
    <row r="119" spans="1:15">
      <c r="A119" s="44" t="s">
        <v>333</v>
      </c>
      <c r="B119" s="44"/>
      <c r="C119" s="35"/>
      <c r="D119" s="35"/>
      <c r="E119" s="4">
        <v>45336</v>
      </c>
      <c r="F119" s="40"/>
      <c r="G119" s="40"/>
      <c r="H119" s="5">
        <v>10</v>
      </c>
      <c r="I119" s="102">
        <v>0</v>
      </c>
      <c r="J119" s="40">
        <v>120</v>
      </c>
      <c r="K119" s="40"/>
      <c r="L119" s="6">
        <v>160</v>
      </c>
      <c r="M119" s="6">
        <v>72</v>
      </c>
      <c r="N119" s="59">
        <f t="shared" si="2"/>
        <v>61.599999999999994</v>
      </c>
    </row>
    <row r="120" spans="1:15">
      <c r="A120" s="44" t="s">
        <v>343</v>
      </c>
      <c r="B120" s="44"/>
      <c r="C120" s="35"/>
      <c r="D120" s="35"/>
      <c r="E120" s="4">
        <v>45336</v>
      </c>
      <c r="F120" s="40"/>
      <c r="G120" s="40"/>
      <c r="H120" s="5">
        <v>10.92</v>
      </c>
      <c r="I120" s="102"/>
      <c r="J120" s="40"/>
      <c r="K120" s="40"/>
      <c r="L120" s="6">
        <v>59</v>
      </c>
      <c r="M120" s="6">
        <v>38</v>
      </c>
      <c r="N120" s="59">
        <f t="shared" si="2"/>
        <v>14.7</v>
      </c>
    </row>
    <row r="121" spans="1:15">
      <c r="A121" s="44" t="s">
        <v>344</v>
      </c>
      <c r="B121" s="44"/>
      <c r="C121" s="35"/>
      <c r="D121" s="35">
        <v>45323</v>
      </c>
      <c r="E121" s="4">
        <v>45323</v>
      </c>
      <c r="F121" s="40"/>
      <c r="G121" s="40"/>
      <c r="H121" s="5">
        <v>10.92</v>
      </c>
      <c r="I121" s="102"/>
      <c r="J121" s="40"/>
      <c r="K121" s="40"/>
      <c r="L121" s="6">
        <v>40</v>
      </c>
      <c r="M121" s="6">
        <v>32.5</v>
      </c>
      <c r="N121" s="59">
        <f t="shared" si="2"/>
        <v>5.25</v>
      </c>
    </row>
    <row r="122" spans="1:15">
      <c r="A122" s="44" t="s">
        <v>345</v>
      </c>
      <c r="B122" s="44"/>
      <c r="C122" s="35"/>
      <c r="D122" s="35"/>
      <c r="E122" s="4">
        <v>45345</v>
      </c>
      <c r="F122" s="40"/>
      <c r="G122" s="40"/>
      <c r="H122" s="5">
        <v>24.2</v>
      </c>
      <c r="I122" s="102"/>
      <c r="J122" s="40">
        <v>45</v>
      </c>
      <c r="K122" s="40"/>
      <c r="L122" s="6">
        <v>90</v>
      </c>
      <c r="M122" s="6">
        <f>7+9</f>
        <v>16</v>
      </c>
      <c r="N122" s="59">
        <f t="shared" si="2"/>
        <v>51.8</v>
      </c>
    </row>
    <row r="123" spans="1:15">
      <c r="A123" s="44" t="s">
        <v>346</v>
      </c>
      <c r="B123" s="44"/>
      <c r="C123" s="35"/>
      <c r="D123" s="35"/>
      <c r="E123" s="4">
        <v>45334</v>
      </c>
      <c r="F123" s="40"/>
      <c r="G123" s="40"/>
      <c r="H123" s="5">
        <v>12.01</v>
      </c>
      <c r="I123" s="102"/>
      <c r="J123" s="40">
        <v>15</v>
      </c>
      <c r="K123" s="40"/>
      <c r="L123" s="6">
        <v>20</v>
      </c>
      <c r="M123" s="6">
        <v>9</v>
      </c>
      <c r="N123" s="70">
        <f t="shared" si="2"/>
        <v>7.6999999999999993</v>
      </c>
    </row>
    <row r="124" spans="1:15">
      <c r="A124" s="44" t="s">
        <v>361</v>
      </c>
      <c r="B124" s="44"/>
      <c r="C124" s="35"/>
      <c r="D124" s="35">
        <v>45366</v>
      </c>
      <c r="E124" s="4">
        <v>45385</v>
      </c>
      <c r="F124" s="40"/>
      <c r="G124" s="40"/>
      <c r="H124" s="5"/>
      <c r="I124" s="102">
        <f>69/30*18</f>
        <v>41.4</v>
      </c>
      <c r="J124" s="40"/>
      <c r="K124" s="40"/>
      <c r="L124" s="6">
        <v>69</v>
      </c>
      <c r="M124" s="6">
        <v>43</v>
      </c>
      <c r="N124" s="70">
        <f>(L124-M124)*0.7</f>
        <v>18.2</v>
      </c>
    </row>
    <row r="125" spans="1:15">
      <c r="C125" s="36"/>
      <c r="D125" s="36"/>
      <c r="F125" s="28"/>
      <c r="G125" s="28"/>
      <c r="H125" s="30"/>
      <c r="I125" s="104"/>
      <c r="M125" s="62" t="s">
        <v>4</v>
      </c>
      <c r="N125" s="18">
        <f>SUM(N2:N124)</f>
        <v>4475.1799999999994</v>
      </c>
    </row>
    <row r="126" spans="1:15">
      <c r="C126" s="36"/>
      <c r="D126" s="36"/>
      <c r="F126" s="28"/>
      <c r="G126" s="28"/>
      <c r="H126" s="30"/>
      <c r="I126" s="104"/>
      <c r="M126" s="61" t="s">
        <v>251</v>
      </c>
      <c r="N126" s="6">
        <f>N125+N133</f>
        <v>3843.6499999999996</v>
      </c>
    </row>
    <row r="127" spans="1:15">
      <c r="C127" s="36"/>
      <c r="D127" s="36"/>
      <c r="F127" s="28"/>
      <c r="G127" s="28"/>
      <c r="H127" s="30"/>
      <c r="I127" s="104"/>
    </row>
    <row r="129" spans="1:16">
      <c r="A129" s="28"/>
      <c r="B129" s="28"/>
      <c r="E129" s="15"/>
      <c r="F129" s="1"/>
      <c r="G129" s="1"/>
      <c r="H129" s="1"/>
      <c r="J129" s="1"/>
      <c r="K129" s="1"/>
      <c r="L129" s="1"/>
      <c r="M129" s="1"/>
      <c r="N129" s="29"/>
    </row>
    <row r="130" spans="1:16">
      <c r="L130" s="1" t="s">
        <v>364</v>
      </c>
      <c r="M130" s="1"/>
      <c r="N130">
        <v>-48.73</v>
      </c>
    </row>
    <row r="131" spans="1:16">
      <c r="H131" s="30"/>
      <c r="L131" s="1" t="s">
        <v>363</v>
      </c>
      <c r="M131"/>
      <c r="N131">
        <v>-58</v>
      </c>
      <c r="O131">
        <v>29</v>
      </c>
    </row>
    <row r="132" spans="1:16">
      <c r="L132" t="s">
        <v>264</v>
      </c>
      <c r="M132"/>
      <c r="N132">
        <v>-524.79999999999995</v>
      </c>
      <c r="P132" s="42"/>
    </row>
    <row r="133" spans="1:16">
      <c r="N133">
        <f>SUM(N130:N132)</f>
        <v>-631.53</v>
      </c>
    </row>
    <row r="134" spans="1:16">
      <c r="P134" s="42"/>
    </row>
    <row r="136" spans="1:16">
      <c r="P136" s="42"/>
    </row>
  </sheetData>
  <autoFilter ref="A1:P126">
    <sortState ref="A2:P101">
      <sortCondition ref="B1:B101"/>
    </sortState>
  </autoFilter>
  <pageMargins left="0.7" right="0.7" top="0.75" bottom="0.75" header="0.3" footer="0.3"/>
  <pageSetup paperSize="9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>
  <dimension ref="A1:P141"/>
  <sheetViews>
    <sheetView topLeftCell="C125" workbookViewId="0">
      <selection activeCell="L140" sqref="L140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2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44</v>
      </c>
      <c r="B19" s="2"/>
      <c r="C19" s="4">
        <v>43196</v>
      </c>
      <c r="D19" s="4"/>
      <c r="E19" s="4">
        <v>43250</v>
      </c>
      <c r="F19" s="5"/>
      <c r="G19" s="49"/>
      <c r="H19" s="5">
        <v>13.78</v>
      </c>
      <c r="I19" s="102">
        <f>25*24/30+25</f>
        <v>45</v>
      </c>
      <c r="J19" s="5"/>
      <c r="K19" s="5"/>
      <c r="L19" s="6">
        <v>11</v>
      </c>
      <c r="M19" s="61">
        <v>25</v>
      </c>
      <c r="N19" s="6">
        <v>9.7999999999999989</v>
      </c>
    </row>
    <row r="20" spans="1:15">
      <c r="A20" s="22" t="s">
        <v>47</v>
      </c>
      <c r="B20" s="22"/>
      <c r="C20" s="4">
        <v>43355</v>
      </c>
      <c r="D20" s="4"/>
      <c r="E20" s="4">
        <v>43277</v>
      </c>
      <c r="F20" s="5"/>
      <c r="G20" s="49"/>
      <c r="H20" s="5">
        <v>19.98</v>
      </c>
      <c r="I20" s="102">
        <f>36*2+36/30*16</f>
        <v>91.2</v>
      </c>
      <c r="J20" s="5"/>
      <c r="K20" s="5"/>
      <c r="L20" s="6">
        <v>105</v>
      </c>
      <c r="M20" s="61">
        <v>36</v>
      </c>
      <c r="N20" s="6">
        <f t="shared" si="0"/>
        <v>48.3</v>
      </c>
    </row>
    <row r="21" spans="1:15">
      <c r="A21" s="22" t="s">
        <v>48</v>
      </c>
      <c r="B21" s="22"/>
      <c r="C21" s="4">
        <v>43367</v>
      </c>
      <c r="D21" s="4"/>
      <c r="E21" s="4">
        <v>43284</v>
      </c>
      <c r="F21" s="5"/>
      <c r="G21" s="49"/>
      <c r="H21" s="5">
        <v>9.1</v>
      </c>
      <c r="I21" s="102">
        <f>25+25/30*27</f>
        <v>47.5</v>
      </c>
      <c r="J21" s="5"/>
      <c r="K21" s="5"/>
      <c r="L21" s="6">
        <v>75</v>
      </c>
      <c r="M21" s="61">
        <v>25</v>
      </c>
      <c r="N21" s="6">
        <f t="shared" si="0"/>
        <v>35</v>
      </c>
    </row>
    <row r="22" spans="1:15">
      <c r="A22" s="2" t="s">
        <v>45</v>
      </c>
      <c r="B22" s="2"/>
      <c r="C22" s="4"/>
      <c r="D22" s="4"/>
      <c r="E22" s="4">
        <v>43286</v>
      </c>
      <c r="F22" s="5"/>
      <c r="G22" s="49"/>
      <c r="H22" s="5">
        <v>11.56</v>
      </c>
      <c r="I22" s="102"/>
      <c r="J22" s="5"/>
      <c r="K22" s="5"/>
      <c r="L22" s="6">
        <v>150</v>
      </c>
      <c r="M22" s="61">
        <v>76</v>
      </c>
      <c r="N22" s="6">
        <f t="shared" si="0"/>
        <v>51.8</v>
      </c>
      <c r="O22" s="20"/>
    </row>
    <row r="23" spans="1:15">
      <c r="A23" s="22" t="s">
        <v>49</v>
      </c>
      <c r="B23" s="22"/>
      <c r="C23" s="4">
        <v>43367</v>
      </c>
      <c r="D23" s="4"/>
      <c r="E23" s="4">
        <v>43291</v>
      </c>
      <c r="F23" s="5"/>
      <c r="G23" s="49"/>
      <c r="H23" s="5">
        <v>10.039999999999999</v>
      </c>
      <c r="I23" s="102">
        <f>50+25/30*14</f>
        <v>61.666666666666671</v>
      </c>
      <c r="J23" s="5"/>
      <c r="K23" s="5"/>
      <c r="L23" s="6">
        <v>50</v>
      </c>
      <c r="M23" s="61">
        <v>22</v>
      </c>
      <c r="N23" s="18">
        <f t="shared" si="0"/>
        <v>19.599999999999998</v>
      </c>
    </row>
    <row r="24" spans="1:15">
      <c r="A24" s="22" t="s">
        <v>51</v>
      </c>
      <c r="B24" s="22"/>
      <c r="C24" s="4">
        <v>43358</v>
      </c>
      <c r="D24" s="4"/>
      <c r="E24" s="4">
        <v>43291</v>
      </c>
      <c r="F24" s="5"/>
      <c r="G24" s="49"/>
      <c r="H24" s="5">
        <v>10.039999999999999</v>
      </c>
      <c r="I24" s="102">
        <f>50+25/30*5</f>
        <v>54.166666666666664</v>
      </c>
      <c r="J24" s="5"/>
      <c r="K24" s="5"/>
      <c r="L24" s="6">
        <v>75</v>
      </c>
      <c r="M24" s="61">
        <v>25</v>
      </c>
      <c r="N24" s="6">
        <f t="shared" si="0"/>
        <v>35</v>
      </c>
    </row>
    <row r="25" spans="1:15">
      <c r="A25" s="22" t="s">
        <v>52</v>
      </c>
      <c r="B25" s="22"/>
      <c r="C25" s="4">
        <v>43367</v>
      </c>
      <c r="D25" s="4"/>
      <c r="E25" s="4">
        <v>43308</v>
      </c>
      <c r="F25" s="5"/>
      <c r="G25" s="49"/>
      <c r="H25" s="5">
        <v>10.86</v>
      </c>
      <c r="I25" s="102">
        <f>25+25/30*27</f>
        <v>47.5</v>
      </c>
      <c r="J25" s="5"/>
      <c r="K25" s="5"/>
      <c r="L25" s="6">
        <v>75</v>
      </c>
      <c r="M25" s="61">
        <v>25</v>
      </c>
      <c r="N25" s="27">
        <f t="shared" si="0"/>
        <v>35</v>
      </c>
    </row>
    <row r="26" spans="1:15">
      <c r="A26" s="22" t="s">
        <v>50</v>
      </c>
      <c r="B26" s="22"/>
      <c r="C26" s="4">
        <v>43367</v>
      </c>
      <c r="D26" s="4"/>
      <c r="E26" s="4">
        <v>43312</v>
      </c>
      <c r="F26" s="5"/>
      <c r="G26" s="49"/>
      <c r="H26" s="5">
        <v>10.86</v>
      </c>
      <c r="I26" s="102">
        <f>25+25/30*24</f>
        <v>45</v>
      </c>
      <c r="J26" s="5"/>
      <c r="K26" s="5"/>
      <c r="L26" s="6">
        <v>70</v>
      </c>
      <c r="M26" s="61">
        <v>25</v>
      </c>
      <c r="N26" s="6">
        <f t="shared" si="0"/>
        <v>31.499999999999996</v>
      </c>
    </row>
    <row r="27" spans="1:15">
      <c r="A27" s="22" t="s">
        <v>55</v>
      </c>
      <c r="B27" s="22"/>
      <c r="C27" s="4">
        <v>43363</v>
      </c>
      <c r="D27" s="4"/>
      <c r="E27" s="4">
        <v>43440</v>
      </c>
      <c r="F27" s="5"/>
      <c r="G27" s="49"/>
      <c r="H27" s="5">
        <v>14.11</v>
      </c>
      <c r="I27" s="102">
        <f>25*2+25*16/30</f>
        <v>63.333333333333336</v>
      </c>
      <c r="J27" s="5"/>
      <c r="K27" s="5"/>
      <c r="L27" s="6">
        <v>75</v>
      </c>
      <c r="M27" s="61">
        <v>25</v>
      </c>
      <c r="N27" s="6">
        <f t="shared" si="0"/>
        <v>35</v>
      </c>
    </row>
    <row r="28" spans="1:15">
      <c r="A28" s="22" t="s">
        <v>54</v>
      </c>
      <c r="B28" s="22"/>
      <c r="C28" s="4">
        <v>43167</v>
      </c>
      <c r="D28" s="4"/>
      <c r="E28" s="4">
        <v>43455</v>
      </c>
      <c r="F28" s="5"/>
      <c r="G28" s="49"/>
      <c r="H28" s="5">
        <v>10.86</v>
      </c>
      <c r="I28" s="102">
        <f>9*25+25*13/30</f>
        <v>235.83333333333334</v>
      </c>
      <c r="J28" s="5"/>
      <c r="K28" s="5"/>
      <c r="L28" s="6">
        <v>90</v>
      </c>
      <c r="M28" s="61">
        <v>36</v>
      </c>
      <c r="N28" s="6">
        <f t="shared" si="0"/>
        <v>37.799999999999997</v>
      </c>
    </row>
    <row r="29" spans="1:15">
      <c r="A29" s="22" t="s">
        <v>57</v>
      </c>
      <c r="B29" s="55"/>
      <c r="C29" s="31">
        <v>43478</v>
      </c>
      <c r="D29" s="31"/>
      <c r="E29" s="4">
        <v>43536</v>
      </c>
      <c r="F29" s="5"/>
      <c r="G29" s="49"/>
      <c r="H29" s="5">
        <v>10.86</v>
      </c>
      <c r="I29" s="102">
        <v>25</v>
      </c>
      <c r="J29" s="5"/>
      <c r="K29" s="5"/>
      <c r="L29" s="6">
        <v>70</v>
      </c>
      <c r="M29" s="61">
        <v>25</v>
      </c>
      <c r="N29" s="6">
        <f t="shared" si="0"/>
        <v>31.499999999999996</v>
      </c>
    </row>
    <row r="30" spans="1:15">
      <c r="A30" s="22" t="s">
        <v>59</v>
      </c>
      <c r="B30" s="22"/>
      <c r="C30" s="4">
        <v>43528</v>
      </c>
      <c r="D30" s="4"/>
      <c r="E30" s="4">
        <v>43538</v>
      </c>
      <c r="F30" s="5"/>
      <c r="G30" s="49"/>
      <c r="H30" s="5">
        <v>14.92</v>
      </c>
      <c r="I30" s="102">
        <f>77/30*10</f>
        <v>25.666666666666668</v>
      </c>
      <c r="J30" s="5"/>
      <c r="K30" s="5"/>
      <c r="L30" s="6">
        <v>169</v>
      </c>
      <c r="M30" s="61">
        <f>64+11+2</f>
        <v>77</v>
      </c>
      <c r="N30" s="6">
        <f t="shared" si="0"/>
        <v>64.399999999999991</v>
      </c>
    </row>
    <row r="31" spans="1:15">
      <c r="A31" s="22" t="s">
        <v>58</v>
      </c>
      <c r="B31" s="22"/>
      <c r="C31" s="4">
        <v>43534</v>
      </c>
      <c r="D31" s="4"/>
      <c r="E31" s="4">
        <v>43542</v>
      </c>
      <c r="F31" s="5"/>
      <c r="G31" s="49"/>
      <c r="H31" s="5">
        <f>10.86*2</f>
        <v>21.72</v>
      </c>
      <c r="I31" s="102">
        <v>0</v>
      </c>
      <c r="J31" s="5"/>
      <c r="K31" s="5"/>
      <c r="L31" s="6">
        <v>60</v>
      </c>
      <c r="M31" s="61">
        <v>33</v>
      </c>
      <c r="N31" s="6">
        <v>18.899999999999999</v>
      </c>
    </row>
    <row r="32" spans="1:15">
      <c r="A32" s="22" t="s">
        <v>61</v>
      </c>
      <c r="B32" s="22"/>
      <c r="C32" s="4">
        <v>43482</v>
      </c>
      <c r="D32" s="4"/>
      <c r="E32" s="4">
        <v>43542</v>
      </c>
      <c r="F32" s="5"/>
      <c r="G32" s="49"/>
      <c r="H32" s="5">
        <v>11.1</v>
      </c>
      <c r="I32" s="102">
        <f>25*2</f>
        <v>50</v>
      </c>
      <c r="J32" s="5"/>
      <c r="K32" s="5"/>
      <c r="L32" s="6">
        <v>70</v>
      </c>
      <c r="M32" s="61">
        <v>26</v>
      </c>
      <c r="N32" s="6">
        <f t="shared" si="0"/>
        <v>30.799999999999997</v>
      </c>
    </row>
    <row r="33" spans="1:16">
      <c r="A33" s="22" t="s">
        <v>67</v>
      </c>
      <c r="B33" s="22"/>
      <c r="C33" s="4">
        <v>43600</v>
      </c>
      <c r="D33" s="4"/>
      <c r="E33" s="4">
        <v>43629</v>
      </c>
      <c r="F33" s="5"/>
      <c r="G33" s="49"/>
      <c r="H33" s="5">
        <f>10.86*2</f>
        <v>21.72</v>
      </c>
      <c r="I33" s="102">
        <f>22/30*58</f>
        <v>42.533333333333331</v>
      </c>
      <c r="J33" s="5">
        <v>50</v>
      </c>
      <c r="K33" s="5">
        <f>H33+I33+J33</f>
        <v>114.25333333333333</v>
      </c>
      <c r="L33" s="6">
        <v>60</v>
      </c>
      <c r="M33" s="61">
        <v>25</v>
      </c>
      <c r="N33" s="6">
        <v>0</v>
      </c>
    </row>
    <row r="34" spans="1:16">
      <c r="A34" s="22" t="s">
        <v>66</v>
      </c>
      <c r="B34" s="22"/>
      <c r="C34" s="4">
        <v>43600</v>
      </c>
      <c r="D34" s="4"/>
      <c r="E34" s="4">
        <v>43629</v>
      </c>
      <c r="F34" s="5"/>
      <c r="G34" s="49"/>
      <c r="H34" s="5">
        <f>10.86</f>
        <v>10.86</v>
      </c>
      <c r="I34" s="102">
        <f>39/30*58</f>
        <v>75.400000000000006</v>
      </c>
      <c r="J34" s="5"/>
      <c r="K34" s="5">
        <f>H34+I34</f>
        <v>86.26</v>
      </c>
      <c r="L34" s="6">
        <v>110</v>
      </c>
      <c r="M34" s="61">
        <f>25+11+3</f>
        <v>39</v>
      </c>
      <c r="N34" s="6">
        <v>0</v>
      </c>
      <c r="O34" t="s">
        <v>73</v>
      </c>
    </row>
    <row r="35" spans="1:16">
      <c r="A35" s="22" t="s">
        <v>64</v>
      </c>
      <c r="B35" s="22"/>
      <c r="C35" s="4">
        <v>43627</v>
      </c>
      <c r="D35" s="4"/>
      <c r="E35" s="4">
        <v>43629</v>
      </c>
      <c r="F35" s="5"/>
      <c r="G35" s="49"/>
      <c r="H35" s="5">
        <v>10.86</v>
      </c>
      <c r="I35" s="102">
        <f>25/30*2</f>
        <v>1.6666666666666667</v>
      </c>
      <c r="J35" s="5"/>
      <c r="K35" s="5">
        <f>H35+I35</f>
        <v>12.526666666666666</v>
      </c>
      <c r="L35" s="6">
        <v>200</v>
      </c>
      <c r="M35" s="61">
        <v>11</v>
      </c>
      <c r="N35" s="5">
        <f t="shared" ref="N35:N47" si="1">(L35-M35)*0.7</f>
        <v>132.29999999999998</v>
      </c>
    </row>
    <row r="36" spans="1:16">
      <c r="A36" s="22" t="s">
        <v>65</v>
      </c>
      <c r="B36" s="22"/>
      <c r="C36" s="4">
        <v>43622</v>
      </c>
      <c r="D36" s="4"/>
      <c r="E36" s="4">
        <v>43650</v>
      </c>
      <c r="F36" s="5"/>
      <c r="G36" s="49"/>
      <c r="H36" s="5">
        <v>10.86</v>
      </c>
      <c r="I36" s="102"/>
      <c r="J36" s="5"/>
      <c r="K36" s="5"/>
      <c r="L36" s="6">
        <v>120</v>
      </c>
      <c r="M36" s="61">
        <v>60</v>
      </c>
      <c r="N36" s="6">
        <f t="shared" si="1"/>
        <v>42</v>
      </c>
    </row>
    <row r="37" spans="1:16">
      <c r="A37" s="22" t="s">
        <v>71</v>
      </c>
      <c r="B37" s="22"/>
      <c r="C37" s="4">
        <v>43635</v>
      </c>
      <c r="D37" s="4"/>
      <c r="E37" s="4">
        <v>43662</v>
      </c>
      <c r="F37" s="5"/>
      <c r="G37" s="49"/>
      <c r="H37" s="5">
        <f>10.86*2</f>
        <v>21.72</v>
      </c>
      <c r="I37" s="102"/>
      <c r="J37" s="5"/>
      <c r="K37" s="5"/>
      <c r="L37" s="6">
        <v>70</v>
      </c>
      <c r="M37" s="61">
        <v>26</v>
      </c>
      <c r="N37" s="6">
        <f t="shared" si="1"/>
        <v>30.799999999999997</v>
      </c>
      <c r="O37" t="s">
        <v>72</v>
      </c>
    </row>
    <row r="38" spans="1:16">
      <c r="A38" s="2" t="s">
        <v>75</v>
      </c>
      <c r="B38" s="2"/>
      <c r="C38" s="4">
        <v>43656</v>
      </c>
      <c r="D38" s="4"/>
      <c r="E38" s="4">
        <v>43711</v>
      </c>
      <c r="F38" s="5"/>
      <c r="G38" s="49"/>
      <c r="H38" s="5">
        <v>10.86</v>
      </c>
      <c r="I38" s="102">
        <f>36/30*48</f>
        <v>57.599999999999994</v>
      </c>
      <c r="J38" s="5"/>
      <c r="K38" s="5"/>
      <c r="L38" s="6">
        <v>105</v>
      </c>
      <c r="M38" s="61">
        <v>36</v>
      </c>
      <c r="N38" s="6">
        <f t="shared" si="1"/>
        <v>48.3</v>
      </c>
    </row>
    <row r="39" spans="1:16">
      <c r="A39" s="2" t="s">
        <v>76</v>
      </c>
      <c r="B39" s="2"/>
      <c r="C39" s="4">
        <v>43677</v>
      </c>
      <c r="D39" s="4"/>
      <c r="E39" s="4">
        <v>43713</v>
      </c>
      <c r="F39" s="5"/>
      <c r="G39" s="49"/>
      <c r="H39" s="5">
        <v>24.06</v>
      </c>
      <c r="I39" s="102">
        <f>80/30*35</f>
        <v>93.333333333333329</v>
      </c>
      <c r="J39" s="5">
        <v>40</v>
      </c>
      <c r="K39" s="5"/>
      <c r="L39" s="6">
        <v>149</v>
      </c>
      <c r="M39" s="61">
        <v>80</v>
      </c>
      <c r="N39" s="6">
        <f t="shared" si="1"/>
        <v>48.3</v>
      </c>
      <c r="O39" t="s">
        <v>79</v>
      </c>
    </row>
    <row r="40" spans="1:16">
      <c r="A40" s="10" t="s">
        <v>81</v>
      </c>
      <c r="B40" s="10"/>
      <c r="C40" s="11">
        <v>45444</v>
      </c>
      <c r="D40" s="11"/>
      <c r="E40" s="11">
        <v>45408</v>
      </c>
      <c r="F40" s="12"/>
      <c r="G40" s="12"/>
      <c r="H40" s="12"/>
      <c r="I40" s="106">
        <f>43/30*34</f>
        <v>48.733333333333334</v>
      </c>
      <c r="J40" s="12"/>
      <c r="K40" s="12"/>
      <c r="L40" s="12">
        <v>129</v>
      </c>
      <c r="M40" s="107">
        <v>61</v>
      </c>
      <c r="N40" s="12">
        <f t="shared" si="1"/>
        <v>47.599999999999994</v>
      </c>
    </row>
    <row r="41" spans="1:16">
      <c r="A41" s="22" t="s">
        <v>87</v>
      </c>
      <c r="B41" s="22"/>
      <c r="C41" s="35">
        <v>43878</v>
      </c>
      <c r="D41" s="35"/>
      <c r="E41" s="35">
        <v>43892</v>
      </c>
      <c r="F41" s="5"/>
      <c r="G41" s="49"/>
      <c r="H41" s="5">
        <v>12.19</v>
      </c>
      <c r="I41" s="102"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22" t="s">
        <v>89</v>
      </c>
      <c r="B42" s="22"/>
      <c r="C42" s="35">
        <v>43908</v>
      </c>
      <c r="D42" s="35"/>
      <c r="E42" s="35">
        <v>43893</v>
      </c>
      <c r="F42" s="5"/>
      <c r="G42" s="49"/>
      <c r="H42" s="5">
        <v>9.6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6">
      <c r="A43" s="22" t="s">
        <v>85</v>
      </c>
      <c r="B43" s="22"/>
      <c r="C43" s="35">
        <v>43881</v>
      </c>
      <c r="D43" s="35"/>
      <c r="E43" s="35">
        <v>43895</v>
      </c>
      <c r="F43" s="5"/>
      <c r="G43" s="49"/>
      <c r="H43" s="5">
        <v>9.14</v>
      </c>
      <c r="I43" s="102">
        <f>11/30*15</f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6">
      <c r="A44" s="39" t="s">
        <v>82</v>
      </c>
      <c r="B44" s="28"/>
      <c r="C44" s="36">
        <v>40235</v>
      </c>
      <c r="D44" s="36"/>
      <c r="E44" s="36">
        <v>43901</v>
      </c>
      <c r="F44" s="5"/>
      <c r="G44" s="34"/>
      <c r="H44" s="37">
        <v>9.6</v>
      </c>
      <c r="I44" s="102">
        <f>11/2</f>
        <v>5.5</v>
      </c>
      <c r="J44" s="5"/>
      <c r="K44" s="5"/>
      <c r="L44" s="17">
        <v>25</v>
      </c>
      <c r="M44" s="63">
        <v>11</v>
      </c>
      <c r="N44" s="26">
        <f t="shared" si="1"/>
        <v>9.7999999999999989</v>
      </c>
    </row>
    <row r="45" spans="1:16">
      <c r="A45" s="22" t="s">
        <v>84</v>
      </c>
      <c r="B45" s="22"/>
      <c r="C45" s="35">
        <v>43889</v>
      </c>
      <c r="D45" s="35"/>
      <c r="E45" s="35">
        <v>43903</v>
      </c>
      <c r="F45" s="5"/>
      <c r="G45" s="49"/>
      <c r="H45" s="5">
        <v>9.14</v>
      </c>
      <c r="I45" s="102">
        <f>11/30*15</f>
        <v>5.5</v>
      </c>
      <c r="J45" s="5"/>
      <c r="K45" s="5"/>
      <c r="L45" s="6">
        <v>25</v>
      </c>
      <c r="M45" s="61">
        <v>11</v>
      </c>
      <c r="N45" s="6">
        <f t="shared" si="1"/>
        <v>9.7999999999999989</v>
      </c>
    </row>
    <row r="46" spans="1:16">
      <c r="A46" s="22" t="s">
        <v>80</v>
      </c>
      <c r="B46" s="22"/>
      <c r="C46" s="35">
        <v>43873</v>
      </c>
      <c r="D46" s="35"/>
      <c r="E46" s="35">
        <v>43910</v>
      </c>
      <c r="F46" s="5"/>
      <c r="G46" s="49"/>
      <c r="H46" s="5">
        <v>21.84</v>
      </c>
      <c r="I46" s="102">
        <f>56/30*38</f>
        <v>70.933333333333337</v>
      </c>
      <c r="J46" s="5"/>
      <c r="K46" s="5"/>
      <c r="L46" s="6">
        <v>120</v>
      </c>
      <c r="M46" s="61">
        <v>56</v>
      </c>
      <c r="N46" s="6">
        <f t="shared" si="1"/>
        <v>44.8</v>
      </c>
    </row>
    <row r="47" spans="1:16">
      <c r="A47" s="22" t="s">
        <v>88</v>
      </c>
      <c r="B47" s="22"/>
      <c r="C47" s="35">
        <v>43855</v>
      </c>
      <c r="D47" s="35"/>
      <c r="E47" s="35">
        <v>43941</v>
      </c>
      <c r="F47" s="5"/>
      <c r="G47" s="49"/>
      <c r="H47" s="5">
        <v>13.93</v>
      </c>
      <c r="I47" s="102">
        <f>56/30*85</f>
        <v>158.66666666666666</v>
      </c>
      <c r="J47" s="5"/>
      <c r="K47" s="5"/>
      <c r="L47" s="6">
        <v>110</v>
      </c>
      <c r="M47" s="61">
        <v>56</v>
      </c>
      <c r="N47" s="6">
        <f t="shared" si="1"/>
        <v>37.799999999999997</v>
      </c>
    </row>
    <row r="48" spans="1:16">
      <c r="A48" s="22" t="s">
        <v>90</v>
      </c>
      <c r="B48" s="22"/>
      <c r="C48" s="35" t="s">
        <v>96</v>
      </c>
      <c r="D48" s="35"/>
      <c r="E48" s="35">
        <v>44015</v>
      </c>
      <c r="F48" s="5" t="s">
        <v>160</v>
      </c>
      <c r="G48" s="49">
        <v>12.5</v>
      </c>
      <c r="H48" s="5">
        <v>11.29</v>
      </c>
      <c r="I48" s="102">
        <f>100</f>
        <v>100</v>
      </c>
      <c r="J48" s="5"/>
      <c r="K48" s="5"/>
      <c r="L48" s="6">
        <v>105</v>
      </c>
      <c r="M48" s="61">
        <f>25+11+22</f>
        <v>58</v>
      </c>
      <c r="N48" s="6">
        <f>12.5+(92.5-M48)*0.7</f>
        <v>36.65</v>
      </c>
      <c r="P48" s="41"/>
    </row>
    <row r="49" spans="1:16">
      <c r="A49" s="22" t="s">
        <v>97</v>
      </c>
      <c r="B49" s="22"/>
      <c r="C49" s="35">
        <v>43990</v>
      </c>
      <c r="D49" s="35"/>
      <c r="E49" s="35">
        <v>44036</v>
      </c>
      <c r="F49" s="5"/>
      <c r="G49" s="49"/>
      <c r="H49" s="5">
        <v>8.75</v>
      </c>
      <c r="I49" s="102">
        <f>56/30*46</f>
        <v>85.866666666666674</v>
      </c>
      <c r="J49" s="5"/>
      <c r="K49" s="5"/>
      <c r="L49" s="6">
        <v>110</v>
      </c>
      <c r="M49" s="61">
        <f>45+11</f>
        <v>56</v>
      </c>
      <c r="N49" s="6">
        <f>(L49-M49)*0.7</f>
        <v>37.799999999999997</v>
      </c>
    </row>
    <row r="50" spans="1:16">
      <c r="A50" s="22" t="s">
        <v>95</v>
      </c>
      <c r="B50" s="22"/>
      <c r="C50" s="35">
        <v>44028</v>
      </c>
      <c r="D50" s="35"/>
      <c r="E50" s="35">
        <v>44040</v>
      </c>
      <c r="F50" s="5"/>
      <c r="G50" s="49"/>
      <c r="H50" s="5">
        <v>8.75</v>
      </c>
      <c r="I50" s="102">
        <f>41/30*12</f>
        <v>16.399999999999999</v>
      </c>
      <c r="J50" s="5"/>
      <c r="K50" s="5"/>
      <c r="L50" s="6">
        <v>60</v>
      </c>
      <c r="M50" s="61">
        <v>41</v>
      </c>
      <c r="N50" s="6">
        <f>(L50-M50)*0.7</f>
        <v>13.299999999999999</v>
      </c>
    </row>
    <row r="51" spans="1:16">
      <c r="A51" s="22" t="s">
        <v>94</v>
      </c>
      <c r="B51" s="22"/>
      <c r="C51" s="35">
        <v>44011</v>
      </c>
      <c r="D51" s="35"/>
      <c r="E51" s="35">
        <v>44084</v>
      </c>
      <c r="F51" s="5"/>
      <c r="G51" s="49"/>
      <c r="H51" s="5">
        <v>11.29</v>
      </c>
      <c r="I51" s="102">
        <f>25/30*71</f>
        <v>59.166666666666671</v>
      </c>
      <c r="J51" s="5"/>
      <c r="K51" s="5"/>
      <c r="L51" s="6">
        <v>40</v>
      </c>
      <c r="M51" s="61">
        <v>25</v>
      </c>
      <c r="N51" s="6">
        <f>(L51-M51)*0.7</f>
        <v>10.5</v>
      </c>
    </row>
    <row r="52" spans="1:16">
      <c r="A52" s="2" t="s">
        <v>99</v>
      </c>
      <c r="B52" s="2"/>
      <c r="C52" s="35">
        <v>44084</v>
      </c>
      <c r="D52" s="35"/>
      <c r="E52" s="35">
        <v>44105</v>
      </c>
      <c r="F52" s="5" t="s">
        <v>160</v>
      </c>
      <c r="G52" s="49">
        <v>5</v>
      </c>
      <c r="H52" s="5">
        <v>12.24</v>
      </c>
      <c r="I52" s="102">
        <f>25/30*20</f>
        <v>16.666666666666668</v>
      </c>
      <c r="J52" s="5"/>
      <c r="K52" s="5"/>
      <c r="L52" s="43">
        <v>40</v>
      </c>
      <c r="M52" s="61">
        <v>22</v>
      </c>
      <c r="N52" s="6">
        <f>5+13*0.7</f>
        <v>14.1</v>
      </c>
      <c r="P52" s="41"/>
    </row>
    <row r="53" spans="1:16">
      <c r="A53" s="2" t="s">
        <v>102</v>
      </c>
      <c r="B53" s="2"/>
      <c r="C53" s="4" t="s">
        <v>103</v>
      </c>
      <c r="D53" s="4"/>
      <c r="E53" s="4">
        <v>44110</v>
      </c>
      <c r="F53" s="5" t="s">
        <v>160</v>
      </c>
      <c r="G53" s="49">
        <v>10</v>
      </c>
      <c r="H53" s="5">
        <v>36.65</v>
      </c>
      <c r="I53" s="102">
        <f>115/30*26</f>
        <v>99.666666666666671</v>
      </c>
      <c r="J53" s="5"/>
      <c r="K53" s="5"/>
      <c r="L53" s="6">
        <v>180</v>
      </c>
      <c r="M53" s="61">
        <v>115</v>
      </c>
      <c r="N53" s="6">
        <f>10+55*0.7</f>
        <v>48.5</v>
      </c>
      <c r="P53" s="41"/>
    </row>
    <row r="54" spans="1:16">
      <c r="A54" s="2" t="s">
        <v>94</v>
      </c>
      <c r="B54" s="2"/>
      <c r="C54" s="35">
        <v>44124</v>
      </c>
      <c r="D54" s="35"/>
      <c r="E54" s="35">
        <v>44124</v>
      </c>
      <c r="F54" s="5"/>
      <c r="G54" s="49"/>
      <c r="H54" s="5">
        <v>7.25</v>
      </c>
      <c r="I54" s="102">
        <v>0</v>
      </c>
      <c r="J54" s="5"/>
      <c r="K54" s="5"/>
      <c r="L54" s="6">
        <v>25</v>
      </c>
      <c r="M54" s="61">
        <v>11</v>
      </c>
      <c r="N54" s="6">
        <f>(L54-M54)*0.7</f>
        <v>9.7999999999999989</v>
      </c>
    </row>
    <row r="55" spans="1:16">
      <c r="A55" s="2" t="s">
        <v>100</v>
      </c>
      <c r="B55" s="2"/>
      <c r="C55" s="4">
        <v>44018</v>
      </c>
      <c r="D55" s="4"/>
      <c r="E55" s="4">
        <v>44124</v>
      </c>
      <c r="F55" s="40"/>
      <c r="G55" s="2"/>
      <c r="H55" s="5">
        <v>9.5</v>
      </c>
      <c r="I55" s="102">
        <f>25/30*104</f>
        <v>86.666666666666671</v>
      </c>
      <c r="J55" s="5"/>
      <c r="K55" s="5"/>
      <c r="L55" s="6">
        <v>70</v>
      </c>
      <c r="M55" s="61">
        <v>25</v>
      </c>
      <c r="N55" s="6">
        <f>(L55-M55)*0.7</f>
        <v>31.499999999999996</v>
      </c>
    </row>
    <row r="56" spans="1:16">
      <c r="A56" s="2" t="s">
        <v>101</v>
      </c>
      <c r="B56" s="2"/>
      <c r="C56" s="4">
        <v>44070</v>
      </c>
      <c r="D56" s="4"/>
      <c r="E56" s="4">
        <v>44131</v>
      </c>
      <c r="F56" s="40"/>
      <c r="G56" s="2"/>
      <c r="H56" s="5">
        <v>13.93</v>
      </c>
      <c r="I56" s="102">
        <f>71/30*60</f>
        <v>142</v>
      </c>
      <c r="J56" s="5"/>
      <c r="K56" s="5"/>
      <c r="L56" s="6">
        <v>120</v>
      </c>
      <c r="M56" s="61">
        <f>60+11</f>
        <v>71</v>
      </c>
      <c r="N56" s="6">
        <f>(L56-M56)*0.7</f>
        <v>34.299999999999997</v>
      </c>
    </row>
    <row r="57" spans="1:16">
      <c r="A57" s="22" t="s">
        <v>104</v>
      </c>
      <c r="B57" s="22"/>
      <c r="C57" s="4">
        <v>44159</v>
      </c>
      <c r="D57" s="4"/>
      <c r="E57" s="4">
        <v>44187</v>
      </c>
      <c r="F57" s="40"/>
      <c r="G57" s="2"/>
      <c r="H57" s="5">
        <v>13.93</v>
      </c>
      <c r="I57" s="102">
        <f>36/30*28</f>
        <v>33.6</v>
      </c>
      <c r="J57" s="5"/>
      <c r="K57" s="5"/>
      <c r="L57" s="6">
        <v>110</v>
      </c>
      <c r="M57" s="61">
        <f>25+11</f>
        <v>36</v>
      </c>
      <c r="N57" s="6">
        <f>(L57-M57)*0.7</f>
        <v>51.8</v>
      </c>
    </row>
    <row r="58" spans="1:16">
      <c r="A58" s="22" t="s">
        <v>120</v>
      </c>
      <c r="B58" s="22"/>
      <c r="C58" s="4">
        <v>44169</v>
      </c>
      <c r="D58" s="4"/>
      <c r="E58" s="4">
        <v>44208</v>
      </c>
      <c r="F58" s="5" t="s">
        <v>160</v>
      </c>
      <c r="G58" s="49">
        <v>10</v>
      </c>
      <c r="H58" s="5"/>
      <c r="I58" s="102">
        <f>41/30*38</f>
        <v>51.933333333333337</v>
      </c>
      <c r="J58" s="5"/>
      <c r="K58" s="5"/>
      <c r="L58" s="6">
        <v>70</v>
      </c>
      <c r="M58" s="61">
        <v>45</v>
      </c>
      <c r="N58" s="5">
        <f>10+(60-45)*0.7</f>
        <v>20.5</v>
      </c>
      <c r="O58" s="1" t="s">
        <v>145</v>
      </c>
    </row>
    <row r="59" spans="1:16">
      <c r="A59" s="22" t="s">
        <v>108</v>
      </c>
      <c r="B59" s="22"/>
      <c r="C59" s="4">
        <v>44185</v>
      </c>
      <c r="D59" s="4"/>
      <c r="E59" s="4">
        <v>44242</v>
      </c>
      <c r="F59" s="5" t="s">
        <v>160</v>
      </c>
      <c r="G59" s="49">
        <v>20</v>
      </c>
      <c r="H59" s="5">
        <v>26.48</v>
      </c>
      <c r="I59" s="102">
        <f>50/30*55</f>
        <v>91.666666666666671</v>
      </c>
      <c r="J59" s="5">
        <v>160</v>
      </c>
      <c r="K59" s="5"/>
      <c r="L59" s="6">
        <v>130</v>
      </c>
      <c r="M59" s="61">
        <v>34</v>
      </c>
      <c r="N59" s="5">
        <f>(20+(110-34)*0.7)</f>
        <v>73.199999999999989</v>
      </c>
      <c r="O59" s="1" t="s">
        <v>145</v>
      </c>
    </row>
    <row r="60" spans="1:16">
      <c r="A60" s="22" t="s">
        <v>109</v>
      </c>
      <c r="B60" s="22"/>
      <c r="C60" s="4">
        <v>44209</v>
      </c>
      <c r="D60" s="4"/>
      <c r="E60" s="4">
        <v>44250</v>
      </c>
      <c r="F60" s="5" t="s">
        <v>160</v>
      </c>
      <c r="G60" s="49">
        <v>22.5</v>
      </c>
      <c r="H60" s="5">
        <v>22.83</v>
      </c>
      <c r="I60" s="102">
        <f>100/30*40</f>
        <v>133.33333333333334</v>
      </c>
      <c r="J60" s="5">
        <v>125</v>
      </c>
      <c r="K60" s="5"/>
      <c r="L60" s="6">
        <v>210</v>
      </c>
      <c r="M60" s="61">
        <v>100</v>
      </c>
      <c r="N60" s="6">
        <f>(22.5+87.5*0.7)</f>
        <v>83.75</v>
      </c>
    </row>
    <row r="61" spans="1:16">
      <c r="A61" s="2" t="s">
        <v>113</v>
      </c>
      <c r="B61" s="2"/>
      <c r="C61" s="4">
        <v>44245</v>
      </c>
      <c r="D61" s="4"/>
      <c r="E61" s="4">
        <v>44271</v>
      </c>
      <c r="F61" s="5" t="s">
        <v>160</v>
      </c>
      <c r="G61" s="49">
        <v>15</v>
      </c>
      <c r="H61" s="5">
        <v>26.76</v>
      </c>
      <c r="I61" s="102">
        <f>67/30*28</f>
        <v>62.533333333333331</v>
      </c>
      <c r="J61" s="5"/>
      <c r="K61" s="5"/>
      <c r="L61" s="6">
        <v>140</v>
      </c>
      <c r="M61" s="61">
        <v>67</v>
      </c>
      <c r="N61" s="6">
        <f>(15+0.7*58)</f>
        <v>55.599999999999994</v>
      </c>
    </row>
    <row r="62" spans="1:16">
      <c r="A62" s="2" t="s">
        <v>112</v>
      </c>
      <c r="B62" s="2"/>
      <c r="C62" s="4">
        <v>44270</v>
      </c>
      <c r="D62" s="4"/>
      <c r="E62" s="4">
        <v>44286</v>
      </c>
      <c r="F62" s="5" t="s">
        <v>160</v>
      </c>
      <c r="G62" s="49">
        <v>17.5</v>
      </c>
      <c r="H62" s="5">
        <v>31.96</v>
      </c>
      <c r="I62" s="102">
        <f>55/30*16</f>
        <v>29.333333333333332</v>
      </c>
      <c r="J62" s="5">
        <v>75</v>
      </c>
      <c r="K62" s="5"/>
      <c r="L62" s="6">
        <v>100</v>
      </c>
      <c r="M62" s="61">
        <v>55</v>
      </c>
      <c r="N62" s="6">
        <f>(17.5+27.5*0.7)</f>
        <v>36.75</v>
      </c>
    </row>
    <row r="63" spans="1:16">
      <c r="A63" s="22" t="s">
        <v>121</v>
      </c>
      <c r="B63" s="22"/>
      <c r="C63" s="4">
        <v>44316</v>
      </c>
      <c r="D63" s="4"/>
      <c r="E63" s="4">
        <v>44354</v>
      </c>
      <c r="F63" s="40"/>
      <c r="G63" s="2"/>
      <c r="H63" s="5">
        <v>15.15</v>
      </c>
      <c r="I63" s="102">
        <f>36/30*37</f>
        <v>44.4</v>
      </c>
      <c r="J63" s="5"/>
      <c r="K63" s="5"/>
      <c r="L63" s="6">
        <v>110</v>
      </c>
      <c r="M63" s="61">
        <v>36</v>
      </c>
      <c r="N63" s="5">
        <f>(L63-M63)*0.7</f>
        <v>51.8</v>
      </c>
      <c r="O63" s="1" t="s">
        <v>145</v>
      </c>
    </row>
    <row r="64" spans="1:16">
      <c r="A64" s="22" t="s">
        <v>126</v>
      </c>
      <c r="B64" s="22"/>
      <c r="C64" s="4">
        <v>44336</v>
      </c>
      <c r="D64" s="4"/>
      <c r="E64" s="4">
        <v>44370</v>
      </c>
      <c r="F64" s="5" t="s">
        <v>161</v>
      </c>
      <c r="G64" s="49">
        <v>17.5</v>
      </c>
      <c r="H64" s="5">
        <v>35.78</v>
      </c>
      <c r="I64" s="102">
        <f>58/30*33</f>
        <v>63.8</v>
      </c>
      <c r="J64" s="5">
        <v>50</v>
      </c>
      <c r="K64" s="5"/>
      <c r="L64" s="6">
        <v>150</v>
      </c>
      <c r="M64" s="61">
        <v>58</v>
      </c>
      <c r="N64" s="6">
        <f>(17.5+74.5*0.7)</f>
        <v>69.650000000000006</v>
      </c>
    </row>
    <row r="65" spans="1:16">
      <c r="A65" s="44" t="s">
        <v>125</v>
      </c>
      <c r="B65" s="44"/>
      <c r="C65" s="4">
        <v>44342</v>
      </c>
      <c r="D65" s="4"/>
      <c r="E65" s="4">
        <v>44386</v>
      </c>
      <c r="F65" s="5" t="s">
        <v>160</v>
      </c>
      <c r="G65" s="49">
        <v>12.5</v>
      </c>
      <c r="H65" s="5">
        <v>15.46</v>
      </c>
      <c r="I65" s="102">
        <f>36/30*43</f>
        <v>51.6</v>
      </c>
      <c r="J65" s="5">
        <f>50+45</f>
        <v>95</v>
      </c>
      <c r="K65" s="5"/>
      <c r="L65" s="6">
        <v>80</v>
      </c>
      <c r="M65" s="61">
        <v>33</v>
      </c>
      <c r="N65" s="6">
        <f>12.5+(L65-M65-12.5)*0.7</f>
        <v>36.65</v>
      </c>
    </row>
    <row r="66" spans="1:16">
      <c r="A66" s="44" t="s">
        <v>129</v>
      </c>
      <c r="B66" s="44"/>
      <c r="C66" s="4">
        <v>44348</v>
      </c>
      <c r="D66" s="4"/>
      <c r="E66" s="4">
        <v>44389</v>
      </c>
      <c r="F66" s="5" t="s">
        <v>160</v>
      </c>
      <c r="G66" s="49">
        <v>12.5</v>
      </c>
      <c r="H66" s="5">
        <v>26.22</v>
      </c>
      <c r="I66" s="102">
        <f>71/30*42</f>
        <v>99.4</v>
      </c>
      <c r="J66" s="5">
        <f>50+45</f>
        <v>95</v>
      </c>
      <c r="K66" s="5"/>
      <c r="L66" s="6">
        <v>140</v>
      </c>
      <c r="M66" s="61">
        <v>71</v>
      </c>
      <c r="N66" s="6">
        <f>(12.5+(127.5-71)*0.7)</f>
        <v>52.05</v>
      </c>
    </row>
    <row r="67" spans="1:16">
      <c r="A67" s="44" t="s">
        <v>124</v>
      </c>
      <c r="B67" s="44"/>
      <c r="C67" s="4">
        <v>44348</v>
      </c>
      <c r="D67" s="4"/>
      <c r="E67" s="4">
        <v>44389</v>
      </c>
      <c r="F67" s="40"/>
      <c r="G67" s="2"/>
      <c r="H67" s="5">
        <v>11.62</v>
      </c>
      <c r="I67" s="102">
        <f>26/30*42</f>
        <v>36.4</v>
      </c>
      <c r="J67" s="5">
        <v>65</v>
      </c>
      <c r="K67" s="5"/>
      <c r="L67" s="6">
        <v>70</v>
      </c>
      <c r="M67" s="61">
        <v>26</v>
      </c>
      <c r="N67" s="6">
        <f>(70-26)*0.7</f>
        <v>30.799999999999997</v>
      </c>
    </row>
    <row r="68" spans="1:16">
      <c r="A68" s="44" t="s">
        <v>132</v>
      </c>
      <c r="B68" s="44"/>
      <c r="C68" s="4">
        <v>44407</v>
      </c>
      <c r="D68" s="4"/>
      <c r="E68" s="4">
        <v>44461</v>
      </c>
      <c r="F68" s="40"/>
      <c r="G68" s="2"/>
      <c r="H68" s="5">
        <v>9.8800000000000008</v>
      </c>
      <c r="I68" s="102">
        <f>25/30*52</f>
        <v>43.333333333333336</v>
      </c>
      <c r="J68" s="5"/>
      <c r="K68" s="5"/>
      <c r="L68" s="6">
        <v>40</v>
      </c>
      <c r="M68" s="61">
        <v>25</v>
      </c>
      <c r="N68" s="6">
        <f>(L68-M68)*0.7</f>
        <v>10.5</v>
      </c>
    </row>
    <row r="69" spans="1:16">
      <c r="A69" s="44" t="s">
        <v>133</v>
      </c>
      <c r="B69" s="44"/>
      <c r="C69" s="4">
        <v>44432</v>
      </c>
      <c r="D69" s="4"/>
      <c r="E69" s="4">
        <v>44467</v>
      </c>
      <c r="F69" s="40"/>
      <c r="G69" s="2"/>
      <c r="H69" s="5">
        <v>9.8800000000000008</v>
      </c>
      <c r="I69" s="102">
        <f>25/30*34</f>
        <v>28.333333333333336</v>
      </c>
      <c r="J69" s="5"/>
      <c r="K69" s="5"/>
      <c r="L69" s="6">
        <v>40</v>
      </c>
      <c r="M69" s="61">
        <v>25</v>
      </c>
      <c r="N69" s="6">
        <f>(L69-M69)*0.7</f>
        <v>10.5</v>
      </c>
    </row>
    <row r="70" spans="1:16">
      <c r="A70" s="52" t="s">
        <v>141</v>
      </c>
      <c r="B70" s="52"/>
      <c r="C70" s="57">
        <v>44459</v>
      </c>
      <c r="D70" s="57"/>
      <c r="E70" s="57">
        <v>44481</v>
      </c>
      <c r="F70" s="10" t="s">
        <v>161</v>
      </c>
      <c r="G70" s="12">
        <v>10</v>
      </c>
      <c r="H70" s="25">
        <v>15.15</v>
      </c>
      <c r="I70" s="103">
        <f>46/30*22</f>
        <v>33.733333333333334</v>
      </c>
      <c r="J70" s="25">
        <v>80</v>
      </c>
      <c r="K70" s="25"/>
      <c r="L70" s="27">
        <v>120</v>
      </c>
      <c r="M70" s="64">
        <v>46</v>
      </c>
      <c r="N70" s="27">
        <f>10+(120-56)*0.7</f>
        <v>54.8</v>
      </c>
    </row>
    <row r="71" spans="1:16">
      <c r="A71" s="52" t="s">
        <v>140</v>
      </c>
      <c r="B71" s="52"/>
      <c r="C71" s="57">
        <v>44449</v>
      </c>
      <c r="D71" s="57"/>
      <c r="E71" s="57">
        <v>44482</v>
      </c>
      <c r="F71" s="25" t="s">
        <v>160</v>
      </c>
      <c r="G71" s="58">
        <v>10</v>
      </c>
      <c r="H71" s="25">
        <v>13.4</v>
      </c>
      <c r="I71" s="103">
        <f>60/30*33</f>
        <v>66</v>
      </c>
      <c r="J71" s="25">
        <v>80</v>
      </c>
      <c r="K71" s="25"/>
      <c r="L71" s="27">
        <v>120</v>
      </c>
      <c r="M71" s="64">
        <v>61</v>
      </c>
      <c r="N71" s="27">
        <f>(10+49*0.7)</f>
        <v>44.3</v>
      </c>
    </row>
    <row r="72" spans="1:16">
      <c r="A72" s="44" t="s">
        <v>137</v>
      </c>
      <c r="B72" s="44"/>
      <c r="C72" s="35">
        <v>44474</v>
      </c>
      <c r="D72" s="35"/>
      <c r="E72" s="35">
        <v>44487</v>
      </c>
      <c r="F72" s="10" t="s">
        <v>161</v>
      </c>
      <c r="G72" s="12">
        <v>12.5</v>
      </c>
      <c r="H72" s="5">
        <v>15.15</v>
      </c>
      <c r="I72" s="102">
        <f>71/30*13</f>
        <v>30.766666666666666</v>
      </c>
      <c r="J72" s="5">
        <v>95</v>
      </c>
      <c r="K72" s="5"/>
      <c r="L72" s="6">
        <v>140</v>
      </c>
      <c r="M72" s="61">
        <v>71</v>
      </c>
      <c r="N72" s="6">
        <f>12.5+(56.5)*0.7</f>
        <v>52.05</v>
      </c>
    </row>
    <row r="73" spans="1:16">
      <c r="A73" s="44" t="s">
        <v>143</v>
      </c>
      <c r="B73" s="44"/>
      <c r="C73" s="35">
        <v>43717</v>
      </c>
      <c r="D73" s="35"/>
      <c r="E73" s="35">
        <v>44505</v>
      </c>
      <c r="F73" s="40"/>
      <c r="G73" s="49"/>
      <c r="H73" s="5">
        <v>13.4</v>
      </c>
      <c r="I73" s="102">
        <f>36*25+36/30*26</f>
        <v>931.2</v>
      </c>
      <c r="J73" s="5"/>
      <c r="K73" s="5"/>
      <c r="L73" s="6">
        <v>100</v>
      </c>
      <c r="M73" s="61">
        <v>36</v>
      </c>
      <c r="N73" s="6">
        <f>(100-36)*0.7</f>
        <v>44.8</v>
      </c>
    </row>
    <row r="74" spans="1:16">
      <c r="A74" s="44" t="s">
        <v>139</v>
      </c>
      <c r="B74" s="44"/>
      <c r="C74" s="35">
        <v>44492</v>
      </c>
      <c r="D74" s="35"/>
      <c r="E74" s="35">
        <v>44539</v>
      </c>
      <c r="F74" s="40"/>
      <c r="G74" s="49"/>
      <c r="H74" s="5">
        <v>16.350000000000001</v>
      </c>
      <c r="I74" s="102">
        <f>71/30*46</f>
        <v>108.86666666666667</v>
      </c>
      <c r="J74" s="5">
        <v>95</v>
      </c>
      <c r="K74" s="5"/>
      <c r="L74" s="6">
        <v>140</v>
      </c>
      <c r="M74" s="61">
        <v>71</v>
      </c>
      <c r="N74" s="12">
        <f>(140-71)*0.7</f>
        <v>48.3</v>
      </c>
      <c r="O74" s="72" t="s">
        <v>329</v>
      </c>
      <c r="P74" s="72">
        <v>33.81</v>
      </c>
    </row>
    <row r="75" spans="1:16">
      <c r="A75" s="44" t="s">
        <v>144</v>
      </c>
      <c r="B75" s="44"/>
      <c r="C75" s="35">
        <v>44526</v>
      </c>
      <c r="D75" s="35"/>
      <c r="E75" s="35">
        <v>44550</v>
      </c>
      <c r="F75" s="5" t="s">
        <v>160</v>
      </c>
      <c r="G75" s="49">
        <v>12.5</v>
      </c>
      <c r="H75" s="5">
        <v>13.4</v>
      </c>
      <c r="I75" s="102">
        <f>83/30*24</f>
        <v>66.400000000000006</v>
      </c>
      <c r="J75" s="5"/>
      <c r="K75" s="5"/>
      <c r="L75" s="6">
        <v>140</v>
      </c>
      <c r="M75" s="61">
        <v>94</v>
      </c>
      <c r="N75" s="6">
        <f>12.5+(140-12.5-94)*0.7</f>
        <v>35.950000000000003</v>
      </c>
    </row>
    <row r="76" spans="1:16">
      <c r="A76" s="44" t="s">
        <v>149</v>
      </c>
      <c r="B76" s="44"/>
      <c r="C76" s="35">
        <v>44880</v>
      </c>
      <c r="D76" s="35"/>
      <c r="E76" s="35">
        <v>44575</v>
      </c>
      <c r="F76" s="40"/>
      <c r="G76" s="49"/>
      <c r="H76" s="5">
        <v>13.4</v>
      </c>
      <c r="I76" s="102"/>
      <c r="J76" s="5">
        <v>50</v>
      </c>
      <c r="K76" s="5"/>
      <c r="L76" s="6">
        <v>160</v>
      </c>
      <c r="M76" s="61">
        <f>71+9</f>
        <v>80</v>
      </c>
      <c r="N76" s="6">
        <f>(160-80)*0.7</f>
        <v>56</v>
      </c>
    </row>
    <row r="77" spans="1:16">
      <c r="A77" s="44" t="s">
        <v>146</v>
      </c>
      <c r="B77" s="44"/>
      <c r="C77" s="4">
        <v>44586</v>
      </c>
      <c r="D77" s="4"/>
      <c r="E77" s="4">
        <v>44615</v>
      </c>
      <c r="F77" s="10" t="s">
        <v>161</v>
      </c>
      <c r="G77" s="12">
        <v>12.5</v>
      </c>
      <c r="H77" s="5">
        <v>15.46</v>
      </c>
      <c r="I77" s="102">
        <f>27/30*28</f>
        <v>25.2</v>
      </c>
      <c r="J77" s="5">
        <v>110</v>
      </c>
      <c r="K77" s="5"/>
      <c r="L77" s="6">
        <v>154</v>
      </c>
      <c r="M77" s="61">
        <v>72</v>
      </c>
      <c r="N77" s="6">
        <f>12.5+(154-12.5-62)*0.7</f>
        <v>68.150000000000006</v>
      </c>
    </row>
    <row r="78" spans="1:16">
      <c r="A78" s="44" t="s">
        <v>148</v>
      </c>
      <c r="B78" s="44"/>
      <c r="C78" s="4">
        <v>44579</v>
      </c>
      <c r="D78" s="4"/>
      <c r="E78" s="4">
        <v>44594</v>
      </c>
      <c r="F78" s="40"/>
      <c r="G78" s="49"/>
      <c r="H78" s="5">
        <v>13.4</v>
      </c>
      <c r="I78" s="102">
        <f>22/30*14</f>
        <v>10.266666666666666</v>
      </c>
      <c r="J78" s="5">
        <v>30</v>
      </c>
      <c r="K78" s="5"/>
      <c r="L78" s="6">
        <v>50</v>
      </c>
      <c r="M78" s="61">
        <v>22</v>
      </c>
      <c r="N78" s="6">
        <f>(50-22)*0.7</f>
        <v>19.599999999999998</v>
      </c>
    </row>
    <row r="79" spans="1:16">
      <c r="A79" s="44" t="s">
        <v>150</v>
      </c>
      <c r="B79" s="44"/>
      <c r="C79" s="4">
        <v>44899</v>
      </c>
      <c r="D79" s="4"/>
      <c r="E79" s="4">
        <v>44607</v>
      </c>
      <c r="F79" s="12" t="s">
        <v>160</v>
      </c>
      <c r="G79" s="12">
        <v>12.5</v>
      </c>
      <c r="H79" s="5">
        <v>13.4</v>
      </c>
      <c r="I79" s="102">
        <f>71/30*61</f>
        <v>144.36666666666667</v>
      </c>
      <c r="J79" s="5">
        <v>80</v>
      </c>
      <c r="K79" s="5"/>
      <c r="L79" s="6">
        <v>120</v>
      </c>
      <c r="M79" s="61">
        <v>60</v>
      </c>
      <c r="N79" s="6">
        <f>12.5+(120-72.5)*0.7</f>
        <v>45.75</v>
      </c>
    </row>
    <row r="80" spans="1:16">
      <c r="A80" s="44" t="s">
        <v>151</v>
      </c>
      <c r="B80" s="44"/>
      <c r="C80" s="4">
        <v>44926</v>
      </c>
      <c r="D80" s="4"/>
      <c r="E80" s="4">
        <v>44649</v>
      </c>
      <c r="F80" s="40"/>
      <c r="G80" s="40"/>
      <c r="H80" s="5">
        <v>9.0299999999999994</v>
      </c>
      <c r="I80" s="102">
        <f>25*2+25/30*29</f>
        <v>74.166666666666671</v>
      </c>
      <c r="J80" s="5">
        <v>80</v>
      </c>
      <c r="K80" s="5"/>
      <c r="L80" s="6">
        <v>67.5</v>
      </c>
      <c r="M80" s="61">
        <v>25</v>
      </c>
      <c r="N80" s="6">
        <f>(67.5-25)*0.7</f>
        <v>29.749999999999996</v>
      </c>
    </row>
    <row r="81" spans="1:14">
      <c r="A81" s="44" t="s">
        <v>152</v>
      </c>
      <c r="B81" s="44"/>
      <c r="C81" s="4">
        <v>44852</v>
      </c>
      <c r="D81" s="4"/>
      <c r="E81" s="4">
        <v>44649</v>
      </c>
      <c r="F81" s="40"/>
      <c r="G81" s="40"/>
      <c r="H81" s="5">
        <v>9.0299999999999994</v>
      </c>
      <c r="I81" s="102">
        <f>45*4+45/30*13</f>
        <v>199.5</v>
      </c>
      <c r="J81" s="5">
        <v>80</v>
      </c>
      <c r="K81" s="5"/>
      <c r="L81" s="6">
        <v>67.5</v>
      </c>
      <c r="M81" s="61">
        <v>45</v>
      </c>
      <c r="N81" s="6">
        <f>(L81-M81)*0.7</f>
        <v>15.749999999999998</v>
      </c>
    </row>
    <row r="82" spans="1:14">
      <c r="A82" s="44" t="s">
        <v>153</v>
      </c>
      <c r="B82" s="44"/>
      <c r="C82" s="4">
        <v>44623</v>
      </c>
      <c r="D82" s="4"/>
      <c r="E82" s="4">
        <v>44623</v>
      </c>
      <c r="F82" s="40"/>
      <c r="G82" s="40"/>
      <c r="H82" s="5">
        <v>11.03</v>
      </c>
      <c r="I82" s="102">
        <v>0</v>
      </c>
      <c r="J82" s="5">
        <v>15</v>
      </c>
      <c r="K82" s="5"/>
      <c r="L82" s="6">
        <v>30</v>
      </c>
      <c r="M82" s="61">
        <v>12</v>
      </c>
      <c r="N82" s="6">
        <f>(L82-M82)*0.7</f>
        <v>12.6</v>
      </c>
    </row>
    <row r="83" spans="1:14">
      <c r="A83" s="44" t="s">
        <v>154</v>
      </c>
      <c r="B83" s="44"/>
      <c r="C83" s="4">
        <v>44881</v>
      </c>
      <c r="D83" s="4"/>
      <c r="E83" s="4">
        <v>44628</v>
      </c>
      <c r="F83" s="40"/>
      <c r="G83" s="40"/>
      <c r="H83" s="5">
        <v>9.0299999999999994</v>
      </c>
      <c r="I83" s="102">
        <f>65*3+65/30*22</f>
        <v>242.66666666666666</v>
      </c>
      <c r="J83" s="5">
        <v>95</v>
      </c>
      <c r="K83" s="5"/>
      <c r="L83" s="6">
        <v>112</v>
      </c>
      <c r="M83" s="61">
        <v>65</v>
      </c>
      <c r="N83" s="6">
        <f>(L83-M83)*0.7</f>
        <v>32.9</v>
      </c>
    </row>
    <row r="84" spans="1:14">
      <c r="A84" s="44" t="s">
        <v>155</v>
      </c>
      <c r="B84" s="44"/>
      <c r="C84" s="4">
        <v>44490</v>
      </c>
      <c r="D84" s="4"/>
      <c r="E84" s="4">
        <v>44648</v>
      </c>
      <c r="F84" s="40"/>
      <c r="G84" s="40"/>
      <c r="H84" s="5">
        <v>13.4</v>
      </c>
      <c r="I84" s="102">
        <f>45*5+45/30*7</f>
        <v>235.5</v>
      </c>
      <c r="J84" s="5">
        <v>80</v>
      </c>
      <c r="K84" s="5"/>
      <c r="L84" s="6">
        <v>67.5</v>
      </c>
      <c r="M84" s="61">
        <v>45</v>
      </c>
      <c r="N84" s="6">
        <f>(L84-M84)*0.7</f>
        <v>15.749999999999998</v>
      </c>
    </row>
    <row r="85" spans="1:14">
      <c r="A85" s="44" t="s">
        <v>156</v>
      </c>
      <c r="B85" s="44"/>
      <c r="C85" s="4">
        <v>44489</v>
      </c>
      <c r="D85" s="4"/>
      <c r="E85" s="4">
        <v>44651</v>
      </c>
      <c r="F85" s="40"/>
      <c r="G85" s="40"/>
      <c r="H85" s="5">
        <v>15.46</v>
      </c>
      <c r="I85" s="102">
        <f>50*5+50/10</f>
        <v>255</v>
      </c>
      <c r="J85" s="5">
        <v>145</v>
      </c>
      <c r="K85" s="5"/>
      <c r="L85" s="6">
        <v>125</v>
      </c>
      <c r="M85" s="61">
        <v>50</v>
      </c>
      <c r="N85" s="6">
        <f>(L85-M85)*0.7</f>
        <v>52.5</v>
      </c>
    </row>
    <row r="86" spans="1:14">
      <c r="A86" s="44" t="s">
        <v>157</v>
      </c>
      <c r="B86" s="44"/>
      <c r="C86" s="4">
        <v>44627</v>
      </c>
      <c r="D86" s="4"/>
      <c r="E86" s="4">
        <v>44627</v>
      </c>
      <c r="F86" s="10" t="s">
        <v>161</v>
      </c>
      <c r="G86" s="12">
        <v>10</v>
      </c>
      <c r="H86" s="5">
        <v>15.46</v>
      </c>
      <c r="I86" s="102">
        <v>0</v>
      </c>
      <c r="J86" s="5">
        <v>0</v>
      </c>
      <c r="K86" s="5"/>
      <c r="L86" s="6">
        <v>100</v>
      </c>
      <c r="M86" s="61">
        <v>44</v>
      </c>
      <c r="N86" s="6">
        <f>10+(46)*0.7</f>
        <v>42.199999999999996</v>
      </c>
    </row>
    <row r="87" spans="1:14">
      <c r="A87" s="44" t="s">
        <v>158</v>
      </c>
      <c r="B87" s="44"/>
      <c r="C87" s="4">
        <v>44627</v>
      </c>
      <c r="D87" s="4"/>
      <c r="E87" s="4">
        <v>44627</v>
      </c>
      <c r="F87" s="10" t="s">
        <v>161</v>
      </c>
      <c r="G87" s="12">
        <v>12.5</v>
      </c>
      <c r="H87" s="5">
        <v>15.46</v>
      </c>
      <c r="I87" s="102">
        <v>0</v>
      </c>
      <c r="J87" s="5">
        <v>0</v>
      </c>
      <c r="K87" s="5"/>
      <c r="L87" s="6">
        <v>125</v>
      </c>
      <c r="M87" s="61">
        <v>55</v>
      </c>
      <c r="N87" s="6">
        <f>12.5+(57.5)*0.7</f>
        <v>52.75</v>
      </c>
    </row>
    <row r="88" spans="1:14">
      <c r="A88" s="44" t="s">
        <v>171</v>
      </c>
      <c r="B88" s="44"/>
      <c r="C88" s="4">
        <v>44648</v>
      </c>
      <c r="D88" s="4"/>
      <c r="E88" s="4">
        <v>44734</v>
      </c>
      <c r="F88" s="40"/>
      <c r="G88" s="5"/>
      <c r="H88" s="5">
        <v>13.72</v>
      </c>
      <c r="I88" s="102">
        <f>56/30*84</f>
        <v>156.80000000000001</v>
      </c>
      <c r="J88" s="5">
        <v>95</v>
      </c>
      <c r="K88" s="5"/>
      <c r="L88" s="6">
        <v>140</v>
      </c>
      <c r="M88" s="61">
        <v>56</v>
      </c>
      <c r="N88" s="6">
        <f>(140-56)*0.7</f>
        <v>58.8</v>
      </c>
    </row>
    <row r="89" spans="1:14">
      <c r="A89" s="44" t="s">
        <v>172</v>
      </c>
      <c r="B89" s="44"/>
      <c r="C89" s="4">
        <v>44705</v>
      </c>
      <c r="D89" s="4"/>
      <c r="E89" s="4">
        <v>44715</v>
      </c>
      <c r="F89" s="40"/>
      <c r="G89" s="5"/>
      <c r="H89" s="5">
        <v>10.039999999999999</v>
      </c>
      <c r="I89" s="102">
        <f>25/30*9</f>
        <v>7.5</v>
      </c>
      <c r="J89" s="5"/>
      <c r="K89" s="5"/>
      <c r="L89" s="6">
        <v>50</v>
      </c>
      <c r="M89" s="61">
        <v>25</v>
      </c>
      <c r="N89" s="6">
        <f>(50-25)*0.7</f>
        <v>17.5</v>
      </c>
    </row>
    <row r="90" spans="1:14">
      <c r="A90" s="44" t="s">
        <v>173</v>
      </c>
      <c r="B90" s="44"/>
      <c r="C90" s="4">
        <v>44704</v>
      </c>
      <c r="D90" s="4"/>
      <c r="E90" s="4">
        <v>44721</v>
      </c>
      <c r="F90" s="10" t="s">
        <v>161</v>
      </c>
      <c r="G90" s="56">
        <v>12.5</v>
      </c>
      <c r="H90" s="5">
        <v>13.72</v>
      </c>
      <c r="I90" s="102">
        <f>37/30*16</f>
        <v>19.733333333333334</v>
      </c>
      <c r="J90" s="5">
        <f>50+45</f>
        <v>95</v>
      </c>
      <c r="K90" s="5"/>
      <c r="L90" s="6">
        <v>110</v>
      </c>
      <c r="M90" s="61">
        <v>37</v>
      </c>
      <c r="N90" s="56">
        <f>12.5+(97.5-37)*0.7</f>
        <v>54.849999999999994</v>
      </c>
    </row>
    <row r="91" spans="1:14">
      <c r="A91" s="44" t="s">
        <v>174</v>
      </c>
      <c r="B91" s="44"/>
      <c r="C91" s="4">
        <v>44715</v>
      </c>
      <c r="D91" s="4"/>
      <c r="E91" s="4">
        <v>44820</v>
      </c>
      <c r="F91" s="10" t="s">
        <v>161</v>
      </c>
      <c r="G91" s="56">
        <v>15</v>
      </c>
      <c r="H91" s="5">
        <v>14.6</v>
      </c>
      <c r="I91" s="102">
        <f>56/30*103</f>
        <v>192.26666666666668</v>
      </c>
      <c r="J91" s="5">
        <v>50</v>
      </c>
      <c r="K91" s="5"/>
      <c r="L91" s="6">
        <f>130</f>
        <v>130</v>
      </c>
      <c r="M91" s="61">
        <v>56</v>
      </c>
      <c r="N91" s="56">
        <f>15+(115-56)*0.7</f>
        <v>56.3</v>
      </c>
    </row>
    <row r="92" spans="1:14">
      <c r="A92" s="44" t="s">
        <v>183</v>
      </c>
      <c r="B92" s="44"/>
      <c r="C92" s="4">
        <v>44749</v>
      </c>
      <c r="D92" s="4">
        <v>44830</v>
      </c>
      <c r="E92" s="4">
        <v>44858</v>
      </c>
      <c r="F92" s="40"/>
      <c r="G92" s="5"/>
      <c r="H92" s="5">
        <v>11.03</v>
      </c>
      <c r="I92" s="102">
        <v>25</v>
      </c>
      <c r="J92" s="5">
        <v>15</v>
      </c>
      <c r="K92" s="5"/>
      <c r="L92" s="6">
        <v>80</v>
      </c>
      <c r="M92" s="61">
        <v>25</v>
      </c>
      <c r="N92" s="6">
        <f>55*0.7</f>
        <v>38.5</v>
      </c>
    </row>
    <row r="93" spans="1:14">
      <c r="A93" s="44" t="s">
        <v>184</v>
      </c>
      <c r="B93" s="44"/>
      <c r="C93" s="4">
        <v>44775</v>
      </c>
      <c r="D93" s="4">
        <v>44810</v>
      </c>
      <c r="E93" s="4">
        <v>44848</v>
      </c>
      <c r="F93" s="40"/>
      <c r="G93" s="5"/>
      <c r="H93" s="5">
        <v>23.38</v>
      </c>
      <c r="I93" s="102">
        <f>100/30*38</f>
        <v>126.66666666666667</v>
      </c>
      <c r="J93" s="5">
        <v>155</v>
      </c>
      <c r="K93" s="5"/>
      <c r="L93" s="6">
        <v>220</v>
      </c>
      <c r="M93" s="61">
        <v>100</v>
      </c>
      <c r="N93" s="6">
        <v>90.75</v>
      </c>
    </row>
    <row r="94" spans="1:14">
      <c r="A94" s="44" t="s">
        <v>185</v>
      </c>
      <c r="B94" s="44"/>
      <c r="C94" s="4">
        <v>44830</v>
      </c>
      <c r="D94" s="4">
        <v>44852</v>
      </c>
      <c r="E94" s="4">
        <v>44858</v>
      </c>
      <c r="F94" s="10" t="s">
        <v>161</v>
      </c>
      <c r="G94" s="12">
        <v>15</v>
      </c>
      <c r="H94" s="5">
        <v>23.38</v>
      </c>
      <c r="I94" s="102">
        <f>54.5/30*6</f>
        <v>10.9</v>
      </c>
      <c r="J94" s="5">
        <v>95</v>
      </c>
      <c r="K94" s="5"/>
      <c r="L94" s="6">
        <v>160</v>
      </c>
      <c r="M94" s="61">
        <v>64.5</v>
      </c>
      <c r="N94" s="6">
        <f>15+(145-64.5)*0.7</f>
        <v>71.349999999999994</v>
      </c>
    </row>
    <row r="95" spans="1:14">
      <c r="A95" s="44" t="s">
        <v>190</v>
      </c>
      <c r="B95" s="44"/>
      <c r="C95" s="4"/>
      <c r="D95" s="4">
        <v>44879</v>
      </c>
      <c r="E95" s="35">
        <v>44887</v>
      </c>
      <c r="F95" s="44" t="s">
        <v>161</v>
      </c>
      <c r="G95" s="56">
        <v>10</v>
      </c>
      <c r="H95" s="5">
        <v>14.6</v>
      </c>
      <c r="I95" s="102">
        <f>34/30*8</f>
        <v>9.0666666666666664</v>
      </c>
      <c r="J95" s="5">
        <v>45</v>
      </c>
      <c r="K95" s="5"/>
      <c r="L95" s="6">
        <v>90</v>
      </c>
      <c r="M95" s="61">
        <v>34</v>
      </c>
      <c r="N95" s="56">
        <f>10+(80-34)*0.7</f>
        <v>42.199999999999996</v>
      </c>
    </row>
    <row r="96" spans="1:14">
      <c r="A96" s="44" t="s">
        <v>193</v>
      </c>
      <c r="B96" s="44"/>
      <c r="C96" s="4">
        <v>44872</v>
      </c>
      <c r="D96" s="4">
        <v>44879</v>
      </c>
      <c r="E96" s="35">
        <v>44882</v>
      </c>
      <c r="F96" s="40"/>
      <c r="G96" s="5"/>
      <c r="H96" s="5">
        <v>10.039999999999999</v>
      </c>
      <c r="I96" s="102">
        <f>25/30*3</f>
        <v>2.5</v>
      </c>
      <c r="J96" s="5"/>
      <c r="K96" s="5"/>
      <c r="L96" s="6">
        <v>40</v>
      </c>
      <c r="M96" s="61">
        <v>25</v>
      </c>
      <c r="N96" s="6">
        <f>(L96-M96)*0.7</f>
        <v>10.5</v>
      </c>
    </row>
    <row r="97" spans="1:16">
      <c r="A97" s="44" t="s">
        <v>213</v>
      </c>
      <c r="B97" s="44"/>
      <c r="C97" s="4">
        <v>44894</v>
      </c>
      <c r="D97" s="4">
        <v>44908</v>
      </c>
      <c r="E97" s="35">
        <v>44944</v>
      </c>
      <c r="F97" s="40" t="s">
        <v>161</v>
      </c>
      <c r="G97" s="5">
        <v>15</v>
      </c>
      <c r="H97" s="5">
        <v>31.72</v>
      </c>
      <c r="I97" s="102">
        <f>50/30*35</f>
        <v>58.333333333333336</v>
      </c>
      <c r="J97" s="5">
        <f>60+50</f>
        <v>110</v>
      </c>
      <c r="K97" s="5"/>
      <c r="L97" s="6">
        <v>130</v>
      </c>
      <c r="M97" s="61">
        <f>19+2+3.5*2+11*2</f>
        <v>50</v>
      </c>
      <c r="N97" s="94">
        <f>15+(L97-M97-15)*0.7</f>
        <v>60.5</v>
      </c>
    </row>
    <row r="98" spans="1:16">
      <c r="A98" s="44" t="s">
        <v>227</v>
      </c>
      <c r="B98" s="44"/>
      <c r="C98" s="4">
        <v>44949</v>
      </c>
      <c r="D98" s="4">
        <v>44953</v>
      </c>
      <c r="E98" s="35">
        <v>44966</v>
      </c>
      <c r="F98" s="40" t="s">
        <v>160</v>
      </c>
      <c r="G98" s="5">
        <v>15</v>
      </c>
      <c r="H98" s="5">
        <v>16.38</v>
      </c>
      <c r="I98" s="102">
        <f>61.5/30*12</f>
        <v>24.599999999999998</v>
      </c>
      <c r="J98" s="5">
        <f>50+60</f>
        <v>110</v>
      </c>
      <c r="K98" s="5"/>
      <c r="L98" s="6">
        <v>160</v>
      </c>
      <c r="M98" s="65">
        <f>32.5+7+22</f>
        <v>61.5</v>
      </c>
      <c r="N98" s="59">
        <f>15+(L98-M98-15)*0.7</f>
        <v>73.449999999999989</v>
      </c>
    </row>
    <row r="99" spans="1:16">
      <c r="A99" s="44" t="s">
        <v>228</v>
      </c>
      <c r="B99" s="44"/>
      <c r="C99" s="4">
        <v>44957</v>
      </c>
      <c r="D99" s="4">
        <v>44957</v>
      </c>
      <c r="E99" s="35">
        <v>44977</v>
      </c>
      <c r="F99" s="40"/>
      <c r="G99" s="5"/>
      <c r="H99" s="5">
        <v>20.61</v>
      </c>
      <c r="I99" s="102">
        <f>66/30*20</f>
        <v>44</v>
      </c>
      <c r="J99" s="5">
        <v>90</v>
      </c>
      <c r="K99" s="5"/>
      <c r="L99" s="6">
        <v>155</v>
      </c>
      <c r="M99" s="65">
        <v>54</v>
      </c>
      <c r="N99" s="59">
        <f>(L99-M99)*0.7</f>
        <v>70.699999999999989</v>
      </c>
    </row>
    <row r="100" spans="1:16">
      <c r="A100" s="44" t="s">
        <v>255</v>
      </c>
      <c r="B100" s="44"/>
      <c r="C100" s="35">
        <v>44691</v>
      </c>
      <c r="D100" s="35">
        <v>44994</v>
      </c>
      <c r="E100" s="4">
        <v>44994</v>
      </c>
      <c r="F100" s="40"/>
      <c r="G100" s="40"/>
      <c r="H100" s="5">
        <v>11.03</v>
      </c>
      <c r="I100" s="102">
        <f>25*14</f>
        <v>350</v>
      </c>
      <c r="J100" s="40">
        <f>30+50</f>
        <v>80</v>
      </c>
      <c r="K100" s="40"/>
      <c r="L100" s="6">
        <v>90</v>
      </c>
      <c r="M100" s="6">
        <v>25</v>
      </c>
      <c r="N100" s="59">
        <v>48.5</v>
      </c>
    </row>
    <row r="101" spans="1:16">
      <c r="A101" s="44" t="s">
        <v>187</v>
      </c>
      <c r="B101" s="44"/>
      <c r="C101" s="35"/>
      <c r="D101" s="35">
        <v>44991</v>
      </c>
      <c r="E101" s="4">
        <v>44991</v>
      </c>
      <c r="F101" s="40"/>
      <c r="G101" s="40"/>
      <c r="H101" s="5">
        <v>13.31</v>
      </c>
      <c r="I101" s="102"/>
      <c r="J101" s="40">
        <v>45</v>
      </c>
      <c r="K101" s="40"/>
      <c r="L101" s="6">
        <v>80</v>
      </c>
      <c r="M101" s="6">
        <v>27</v>
      </c>
      <c r="N101" s="59">
        <f>(L101-M101)*0.7</f>
        <v>37.099999999999994</v>
      </c>
    </row>
    <row r="102" spans="1:16">
      <c r="A102" s="76" t="s">
        <v>276</v>
      </c>
      <c r="B102" s="44"/>
      <c r="C102" s="35">
        <v>45061</v>
      </c>
      <c r="D102" s="35">
        <v>45070</v>
      </c>
      <c r="E102" s="4"/>
      <c r="F102" s="40"/>
      <c r="G102" s="40"/>
      <c r="H102" s="5">
        <v>11.48</v>
      </c>
      <c r="I102" s="102">
        <f>21/30*9</f>
        <v>6.3</v>
      </c>
      <c r="J102" s="40"/>
      <c r="K102" s="40"/>
      <c r="L102" s="17">
        <f>50</f>
        <v>50</v>
      </c>
      <c r="M102" s="18">
        <v>21</v>
      </c>
      <c r="N102" s="70">
        <f>(50-21)*0.7</f>
        <v>20.299999999999997</v>
      </c>
    </row>
    <row r="103" spans="1:16">
      <c r="A103" s="76" t="s">
        <v>279</v>
      </c>
      <c r="B103" s="44"/>
      <c r="C103" s="35">
        <v>45065</v>
      </c>
      <c r="D103" s="35">
        <v>45070</v>
      </c>
      <c r="E103" s="4"/>
      <c r="F103" s="40"/>
      <c r="G103" s="40"/>
      <c r="H103" s="5">
        <v>11.48</v>
      </c>
      <c r="I103" s="102">
        <f>21/30*5</f>
        <v>3.5</v>
      </c>
      <c r="J103" s="40"/>
      <c r="K103" s="40"/>
      <c r="L103" s="17">
        <f>50</f>
        <v>50</v>
      </c>
      <c r="M103" s="18">
        <v>21</v>
      </c>
      <c r="N103" s="70">
        <f>(50-21)*0.7</f>
        <v>20.299999999999997</v>
      </c>
    </row>
    <row r="104" spans="1:16">
      <c r="A104" s="76" t="s">
        <v>278</v>
      </c>
      <c r="B104" s="52"/>
      <c r="C104" s="57">
        <v>44973</v>
      </c>
      <c r="D104" s="57">
        <v>45070</v>
      </c>
      <c r="E104" s="24"/>
      <c r="F104" s="48"/>
      <c r="G104" s="48"/>
      <c r="H104" s="25">
        <v>11.48</v>
      </c>
      <c r="I104" s="103">
        <f>21/30*98</f>
        <v>68.599999999999994</v>
      </c>
      <c r="J104" s="48"/>
      <c r="K104" s="48"/>
      <c r="L104" s="17">
        <v>50</v>
      </c>
      <c r="M104" s="26">
        <v>21</v>
      </c>
      <c r="N104" s="85">
        <f>(50-21)*0.7</f>
        <v>20.299999999999997</v>
      </c>
    </row>
    <row r="105" spans="1:16">
      <c r="A105" s="44" t="s">
        <v>289</v>
      </c>
      <c r="B105" s="44"/>
      <c r="C105" s="35">
        <v>45110</v>
      </c>
      <c r="D105" s="35">
        <v>45127</v>
      </c>
      <c r="E105" s="4">
        <v>45110</v>
      </c>
      <c r="F105" s="40"/>
      <c r="G105" s="40"/>
      <c r="H105" s="5">
        <v>13.31</v>
      </c>
      <c r="I105" s="102">
        <f>27/30*17</f>
        <v>15.3</v>
      </c>
      <c r="J105" s="40">
        <v>45</v>
      </c>
      <c r="K105" s="40"/>
      <c r="L105" s="6">
        <v>75</v>
      </c>
      <c r="M105" s="6">
        <v>27</v>
      </c>
      <c r="N105" s="59">
        <f>(L105-M105)*0.7</f>
        <v>33.599999999999994</v>
      </c>
    </row>
    <row r="106" spans="1:16">
      <c r="A106" s="44" t="s">
        <v>292</v>
      </c>
      <c r="B106" s="44"/>
      <c r="C106" s="35">
        <v>45138</v>
      </c>
      <c r="D106" s="35">
        <v>45139</v>
      </c>
      <c r="E106" s="35">
        <v>45162</v>
      </c>
      <c r="F106" s="40"/>
      <c r="G106" s="40"/>
      <c r="H106" s="5">
        <v>12.48</v>
      </c>
      <c r="I106" s="102">
        <f>27/30*23</f>
        <v>20.7</v>
      </c>
      <c r="J106" s="40">
        <v>45</v>
      </c>
      <c r="K106" s="40"/>
      <c r="L106" s="6">
        <v>90</v>
      </c>
      <c r="M106" s="6">
        <v>27</v>
      </c>
      <c r="N106" s="59">
        <f>(L106-M106)*0.7</f>
        <v>44.099999999999994</v>
      </c>
    </row>
    <row r="107" spans="1:16">
      <c r="A107" s="44" t="s">
        <v>293</v>
      </c>
      <c r="B107" s="44"/>
      <c r="C107" s="35">
        <v>45086</v>
      </c>
      <c r="D107" s="35">
        <v>45089</v>
      </c>
      <c r="E107" s="4">
        <v>45103</v>
      </c>
      <c r="F107" s="40"/>
      <c r="G107" s="40"/>
      <c r="H107" s="5">
        <v>11.03</v>
      </c>
      <c r="I107" s="102">
        <f>21/30*14</f>
        <v>9.7999999999999989</v>
      </c>
      <c r="J107" s="40"/>
      <c r="K107" s="40"/>
      <c r="L107" s="6">
        <v>50</v>
      </c>
      <c r="M107" s="6">
        <v>21</v>
      </c>
      <c r="N107" s="59">
        <f>(L107-M107)*0.7</f>
        <v>20.299999999999997</v>
      </c>
    </row>
    <row r="108" spans="1:16">
      <c r="A108" s="44" t="s">
        <v>295</v>
      </c>
      <c r="B108" s="44"/>
      <c r="C108" s="35">
        <v>45228</v>
      </c>
      <c r="D108" s="35">
        <v>45203</v>
      </c>
      <c r="E108" s="4"/>
      <c r="F108" s="40"/>
      <c r="G108" s="40"/>
      <c r="H108" s="5">
        <v>13.31</v>
      </c>
      <c r="I108" s="102">
        <f>27/30*5</f>
        <v>4.5</v>
      </c>
      <c r="J108" s="40">
        <v>45</v>
      </c>
      <c r="K108" s="40"/>
      <c r="L108" s="6">
        <v>80</v>
      </c>
      <c r="M108" s="6">
        <v>27</v>
      </c>
      <c r="N108" s="59">
        <f>(L108-M108)*0.7</f>
        <v>37.099999999999994</v>
      </c>
    </row>
    <row r="109" spans="1:16">
      <c r="A109" s="44" t="s">
        <v>320</v>
      </c>
      <c r="B109" s="44"/>
      <c r="C109" s="35">
        <v>45177</v>
      </c>
      <c r="D109" s="35">
        <v>45196</v>
      </c>
      <c r="E109" s="4"/>
      <c r="F109" s="40"/>
      <c r="G109" s="40"/>
      <c r="H109" s="5">
        <v>10.44</v>
      </c>
      <c r="I109" s="102">
        <f>38/30*21</f>
        <v>26.599999999999998</v>
      </c>
      <c r="J109" s="40"/>
      <c r="K109" s="40"/>
      <c r="L109" s="6">
        <v>69</v>
      </c>
      <c r="M109" s="6">
        <v>38</v>
      </c>
      <c r="N109" s="59">
        <f>(69-38)*0.7</f>
        <v>21.7</v>
      </c>
    </row>
    <row r="110" spans="1:16">
      <c r="A110" s="44" t="s">
        <v>325</v>
      </c>
      <c r="B110" s="44"/>
      <c r="C110" s="35"/>
      <c r="D110" s="35">
        <v>45223</v>
      </c>
      <c r="E110" s="4">
        <v>45239</v>
      </c>
      <c r="F110" s="40"/>
      <c r="G110" s="40"/>
      <c r="H110" s="5">
        <v>40</v>
      </c>
      <c r="I110" s="102">
        <f>43/30*15</f>
        <v>21.5</v>
      </c>
      <c r="J110" s="40"/>
      <c r="K110" s="40"/>
      <c r="L110" s="6">
        <v>69</v>
      </c>
      <c r="M110" s="6">
        <v>43</v>
      </c>
      <c r="N110" s="94">
        <f>(69-43)*0.7</f>
        <v>18.2</v>
      </c>
      <c r="O110" s="72" t="s">
        <v>329</v>
      </c>
      <c r="P110" s="72">
        <v>12.74</v>
      </c>
    </row>
    <row r="111" spans="1:16">
      <c r="A111" s="44" t="s">
        <v>326</v>
      </c>
      <c r="B111" s="44"/>
      <c r="C111" s="35"/>
      <c r="D111" s="35">
        <v>45188</v>
      </c>
      <c r="E111" s="4">
        <v>45209</v>
      </c>
      <c r="F111" s="40"/>
      <c r="G111" s="40"/>
      <c r="H111" s="5">
        <v>11.48</v>
      </c>
      <c r="I111" s="102"/>
      <c r="J111" s="40"/>
      <c r="K111" s="40"/>
      <c r="L111" s="6">
        <v>59</v>
      </c>
      <c r="M111" s="6">
        <v>38</v>
      </c>
      <c r="N111" s="59">
        <f>(L111-M111)*0.7</f>
        <v>14.7</v>
      </c>
    </row>
    <row r="112" spans="1:16">
      <c r="A112" s="44" t="s">
        <v>108</v>
      </c>
      <c r="B112" s="44"/>
      <c r="C112" s="35"/>
      <c r="D112" s="35">
        <v>45231</v>
      </c>
      <c r="E112" s="4">
        <v>45231</v>
      </c>
      <c r="F112" s="40"/>
      <c r="G112" s="40"/>
      <c r="H112" s="5"/>
      <c r="I112" s="102"/>
      <c r="J112" s="40"/>
      <c r="K112" s="40"/>
      <c r="L112" s="6">
        <v>69</v>
      </c>
      <c r="M112" s="6">
        <v>43</v>
      </c>
      <c r="N112" s="59">
        <f>(L112-M112)*0.7</f>
        <v>18.2</v>
      </c>
    </row>
    <row r="113" spans="1:15">
      <c r="A113" s="44" t="s">
        <v>327</v>
      </c>
      <c r="B113" s="44"/>
      <c r="C113" s="35"/>
      <c r="D113" s="35"/>
      <c r="E113" s="4">
        <v>45127</v>
      </c>
      <c r="F113" s="40"/>
      <c r="G113" s="40"/>
      <c r="H113" s="5">
        <v>11.48</v>
      </c>
      <c r="I113" s="102"/>
      <c r="J113" s="40"/>
      <c r="K113" s="40"/>
      <c r="L113" s="6">
        <v>25</v>
      </c>
      <c r="M113" s="6">
        <v>9</v>
      </c>
      <c r="N113" s="59">
        <f>(L113-M113)*0.7</f>
        <v>11.2</v>
      </c>
    </row>
    <row r="114" spans="1:15">
      <c r="A114" s="44" t="s">
        <v>336</v>
      </c>
      <c r="B114" s="44"/>
      <c r="C114" s="35"/>
      <c r="D114" s="35">
        <v>45278</v>
      </c>
      <c r="E114" s="4">
        <v>45278</v>
      </c>
      <c r="F114" s="40"/>
      <c r="G114" s="40"/>
      <c r="H114" s="5"/>
      <c r="I114" s="102"/>
      <c r="J114" s="40"/>
      <c r="K114" s="40"/>
      <c r="L114" s="6">
        <v>69</v>
      </c>
      <c r="M114" s="6">
        <v>43</v>
      </c>
      <c r="N114" s="59">
        <f>(69-43)*0.7/30*42</f>
        <v>25.48</v>
      </c>
    </row>
    <row r="115" spans="1:15">
      <c r="A115" s="44" t="s">
        <v>337</v>
      </c>
      <c r="B115" s="44"/>
      <c r="C115" s="35">
        <v>45342</v>
      </c>
      <c r="D115" s="35">
        <v>44977</v>
      </c>
      <c r="E115" s="4">
        <v>45342</v>
      </c>
      <c r="F115" s="40"/>
      <c r="G115" s="40"/>
      <c r="H115" s="5">
        <v>13.78</v>
      </c>
      <c r="I115" s="102"/>
      <c r="J115" s="40">
        <f>45+50</f>
        <v>95</v>
      </c>
      <c r="K115" s="40"/>
      <c r="L115" s="6">
        <v>100</v>
      </c>
      <c r="M115" s="6">
        <v>38.5</v>
      </c>
      <c r="N115" s="59">
        <f t="shared" ref="N115:N121" si="2">(L115-M115)*0.7</f>
        <v>43.05</v>
      </c>
    </row>
    <row r="116" spans="1:15">
      <c r="A116" s="44" t="s">
        <v>338</v>
      </c>
      <c r="B116" s="44"/>
      <c r="C116" s="35">
        <v>45271</v>
      </c>
      <c r="D116" s="35"/>
      <c r="E116" s="4">
        <v>45301</v>
      </c>
      <c r="F116" s="40"/>
      <c r="G116" s="40"/>
      <c r="H116" s="5">
        <v>14.26</v>
      </c>
      <c r="I116" s="102">
        <f>25/30*29</f>
        <v>24.166666666666668</v>
      </c>
      <c r="J116" s="40">
        <f>30+50</f>
        <v>80</v>
      </c>
      <c r="K116" s="40"/>
      <c r="L116" s="6">
        <v>80</v>
      </c>
      <c r="M116" s="6">
        <v>29</v>
      </c>
      <c r="N116" s="59">
        <f t="shared" si="2"/>
        <v>35.699999999999996</v>
      </c>
      <c r="O116" t="s">
        <v>339</v>
      </c>
    </row>
    <row r="117" spans="1:15">
      <c r="A117" s="44" t="s">
        <v>333</v>
      </c>
      <c r="B117" s="44"/>
      <c r="C117" s="35"/>
      <c r="D117" s="35"/>
      <c r="E117" s="4">
        <v>45336</v>
      </c>
      <c r="F117" s="40"/>
      <c r="G117" s="40"/>
      <c r="H117" s="5">
        <v>10</v>
      </c>
      <c r="I117" s="102">
        <v>0</v>
      </c>
      <c r="J117" s="40">
        <v>120</v>
      </c>
      <c r="K117" s="40"/>
      <c r="L117" s="6">
        <v>160</v>
      </c>
      <c r="M117" s="6">
        <v>72</v>
      </c>
      <c r="N117" s="59">
        <f t="shared" si="2"/>
        <v>61.599999999999994</v>
      </c>
    </row>
    <row r="118" spans="1:15">
      <c r="A118" s="44" t="s">
        <v>343</v>
      </c>
      <c r="B118" s="44"/>
      <c r="C118" s="35"/>
      <c r="D118" s="35"/>
      <c r="E118" s="4">
        <v>45336</v>
      </c>
      <c r="F118" s="40"/>
      <c r="G118" s="40"/>
      <c r="H118" s="5">
        <v>10.92</v>
      </c>
      <c r="I118" s="102"/>
      <c r="J118" s="40"/>
      <c r="K118" s="40"/>
      <c r="L118" s="6">
        <v>59</v>
      </c>
      <c r="M118" s="6">
        <v>38</v>
      </c>
      <c r="N118" s="59">
        <f t="shared" si="2"/>
        <v>14.7</v>
      </c>
    </row>
    <row r="119" spans="1:15">
      <c r="A119" s="44" t="s">
        <v>344</v>
      </c>
      <c r="B119" s="44"/>
      <c r="C119" s="35"/>
      <c r="D119" s="35">
        <v>45323</v>
      </c>
      <c r="E119" s="4">
        <v>45323</v>
      </c>
      <c r="F119" s="40"/>
      <c r="G119" s="40"/>
      <c r="H119" s="5">
        <v>10.92</v>
      </c>
      <c r="I119" s="102"/>
      <c r="J119" s="40"/>
      <c r="K119" s="40"/>
      <c r="L119" s="6">
        <v>40</v>
      </c>
      <c r="M119" s="6">
        <v>32.5</v>
      </c>
      <c r="N119" s="59">
        <f t="shared" si="2"/>
        <v>5.25</v>
      </c>
    </row>
    <row r="120" spans="1:15">
      <c r="A120" s="44" t="s">
        <v>345</v>
      </c>
      <c r="B120" s="44"/>
      <c r="C120" s="35"/>
      <c r="D120" s="35"/>
      <c r="E120" s="4">
        <v>45345</v>
      </c>
      <c r="F120" s="40"/>
      <c r="G120" s="40"/>
      <c r="H120" s="5">
        <v>24.2</v>
      </c>
      <c r="I120" s="102"/>
      <c r="J120" s="40">
        <v>45</v>
      </c>
      <c r="K120" s="40"/>
      <c r="L120" s="6">
        <v>90</v>
      </c>
      <c r="M120" s="6">
        <f>7+9</f>
        <v>16</v>
      </c>
      <c r="N120" s="59">
        <f t="shared" si="2"/>
        <v>51.8</v>
      </c>
    </row>
    <row r="121" spans="1:15">
      <c r="A121" s="44" t="s">
        <v>346</v>
      </c>
      <c r="B121" s="44"/>
      <c r="C121" s="35"/>
      <c r="D121" s="35"/>
      <c r="E121" s="4">
        <v>45334</v>
      </c>
      <c r="F121" s="40"/>
      <c r="G121" s="40"/>
      <c r="H121" s="5">
        <v>12.01</v>
      </c>
      <c r="I121" s="102"/>
      <c r="J121" s="40">
        <v>15</v>
      </c>
      <c r="K121" s="40"/>
      <c r="L121" s="6">
        <v>20</v>
      </c>
      <c r="M121" s="6">
        <v>9</v>
      </c>
      <c r="N121" s="70">
        <f t="shared" si="2"/>
        <v>7.6999999999999993</v>
      </c>
    </row>
    <row r="122" spans="1:15">
      <c r="A122" s="44" t="s">
        <v>361</v>
      </c>
      <c r="B122" s="44"/>
      <c r="C122" s="35"/>
      <c r="D122" s="35">
        <v>45366</v>
      </c>
      <c r="E122" s="4">
        <v>45385</v>
      </c>
      <c r="F122" s="40"/>
      <c r="G122" s="40"/>
      <c r="H122" s="5"/>
      <c r="I122" s="102">
        <f>69/30*18</f>
        <v>41.4</v>
      </c>
      <c r="J122" s="40"/>
      <c r="K122" s="40"/>
      <c r="L122" s="6">
        <v>69</v>
      </c>
      <c r="M122" s="6">
        <v>43</v>
      </c>
      <c r="N122" s="70">
        <f>(L122-M122)*0.7</f>
        <v>18.2</v>
      </c>
    </row>
    <row r="123" spans="1:15">
      <c r="A123" s="10" t="s">
        <v>365</v>
      </c>
      <c r="B123" s="44"/>
      <c r="C123" s="35"/>
      <c r="D123" s="35">
        <v>45450</v>
      </c>
      <c r="E123" s="4">
        <v>45456</v>
      </c>
      <c r="F123" s="40"/>
      <c r="G123" s="40"/>
      <c r="H123" s="5"/>
      <c r="I123" s="102">
        <f>47/30*5</f>
        <v>7.833333333333333</v>
      </c>
      <c r="J123" s="40"/>
      <c r="K123" s="40"/>
      <c r="L123" s="6">
        <v>69</v>
      </c>
      <c r="M123" s="6">
        <v>47</v>
      </c>
      <c r="N123" s="59">
        <f>(L123-M123)*0.7/30*17</f>
        <v>8.7266666666666666</v>
      </c>
    </row>
    <row r="124" spans="1:15">
      <c r="A124" s="10" t="s">
        <v>358</v>
      </c>
      <c r="B124" s="44"/>
      <c r="C124" s="35"/>
      <c r="D124" s="35">
        <v>45468</v>
      </c>
      <c r="E124" s="4">
        <v>45468</v>
      </c>
      <c r="F124" s="40"/>
      <c r="G124" s="40"/>
      <c r="H124" s="5">
        <v>12.01</v>
      </c>
      <c r="I124" s="102"/>
      <c r="J124" s="40"/>
      <c r="K124" s="40"/>
      <c r="L124" s="6">
        <v>59</v>
      </c>
      <c r="M124" s="6">
        <v>38</v>
      </c>
      <c r="N124" s="59">
        <f>(L124-M124)*0.7/30*5</f>
        <v>2.4500000000000002</v>
      </c>
    </row>
    <row r="125" spans="1:15">
      <c r="A125" s="10" t="s">
        <v>218</v>
      </c>
      <c r="B125" s="44"/>
      <c r="C125" s="35"/>
      <c r="D125" s="35">
        <v>45456</v>
      </c>
      <c r="E125" s="4">
        <v>45456</v>
      </c>
      <c r="F125" s="40"/>
      <c r="G125" s="40"/>
      <c r="H125" s="5">
        <v>10</v>
      </c>
      <c r="I125" s="102"/>
      <c r="J125" s="40">
        <v>45</v>
      </c>
      <c r="K125" s="40"/>
      <c r="L125" s="6">
        <v>80</v>
      </c>
      <c r="M125" s="6">
        <v>27</v>
      </c>
      <c r="N125" s="59">
        <f>(L125-M125)*0.7/30*17</f>
        <v>21.023333333333333</v>
      </c>
    </row>
    <row r="126" spans="1:15">
      <c r="A126" s="10" t="s">
        <v>366</v>
      </c>
      <c r="B126" s="44"/>
      <c r="C126" s="35"/>
      <c r="D126" s="35">
        <v>45454</v>
      </c>
      <c r="E126" s="4"/>
      <c r="F126" s="40"/>
      <c r="G126" s="40"/>
      <c r="H126" s="5"/>
      <c r="I126" s="102"/>
      <c r="J126" s="40"/>
      <c r="K126" s="40"/>
      <c r="L126" s="6">
        <v>59</v>
      </c>
      <c r="M126" s="6">
        <v>38</v>
      </c>
      <c r="N126" s="59">
        <f>(L126-M126)*0.7/30*19</f>
        <v>9.31</v>
      </c>
    </row>
    <row r="127" spans="1:15">
      <c r="A127" s="10" t="s">
        <v>64</v>
      </c>
      <c r="B127" s="44"/>
      <c r="C127" s="35"/>
      <c r="D127" s="35">
        <v>45469</v>
      </c>
      <c r="E127" s="4">
        <v>45469</v>
      </c>
      <c r="F127" s="40"/>
      <c r="G127" s="40"/>
      <c r="H127" s="5"/>
      <c r="I127" s="102"/>
      <c r="J127" s="40"/>
      <c r="K127" s="40"/>
      <c r="L127" s="6">
        <v>100</v>
      </c>
      <c r="M127" s="18">
        <v>5</v>
      </c>
      <c r="N127" s="59">
        <f>(L127-M127)*0.7/30*6</f>
        <v>13.3</v>
      </c>
    </row>
    <row r="128" spans="1:15">
      <c r="A128" s="10" t="s">
        <v>369</v>
      </c>
      <c r="B128" s="44"/>
      <c r="C128" s="35"/>
      <c r="D128" s="35">
        <v>45464</v>
      </c>
      <c r="E128" s="4">
        <v>41811</v>
      </c>
      <c r="F128" s="40"/>
      <c r="G128" s="40"/>
      <c r="H128" s="5">
        <v>24.98</v>
      </c>
      <c r="I128" s="102"/>
      <c r="J128" s="40">
        <v>15</v>
      </c>
      <c r="K128" s="40"/>
      <c r="L128" s="6">
        <v>80</v>
      </c>
      <c r="M128" s="6">
        <v>42.5</v>
      </c>
      <c r="N128" s="59">
        <f>(L128-M128)*0.7/30*9</f>
        <v>7.875</v>
      </c>
    </row>
    <row r="129" spans="1:16">
      <c r="A129" s="10" t="s">
        <v>370</v>
      </c>
      <c r="B129" s="44"/>
      <c r="C129" s="35"/>
      <c r="D129" s="35">
        <v>45444</v>
      </c>
      <c r="E129" s="4">
        <v>41791</v>
      </c>
      <c r="F129" s="40"/>
      <c r="G129" s="40"/>
      <c r="H129" s="5">
        <v>12.98</v>
      </c>
      <c r="I129" s="102"/>
      <c r="J129" s="40">
        <v>30</v>
      </c>
      <c r="K129" s="40"/>
      <c r="L129" s="6">
        <v>65</v>
      </c>
      <c r="M129" s="6">
        <v>18</v>
      </c>
      <c r="N129" s="59">
        <f>(L129-M129)*0.7/30*9</f>
        <v>9.870000000000001</v>
      </c>
    </row>
    <row r="130" spans="1:16">
      <c r="C130" s="36"/>
      <c r="D130" s="36"/>
      <c r="F130" s="28"/>
      <c r="G130" s="28"/>
      <c r="H130" s="30"/>
      <c r="I130" s="104"/>
      <c r="M130" s="62" t="s">
        <v>4</v>
      </c>
      <c r="N130" s="18">
        <f>SUM(N2:N129)</f>
        <v>4473.2849999999999</v>
      </c>
    </row>
    <row r="131" spans="1:16">
      <c r="C131" s="36"/>
      <c r="D131" s="36"/>
      <c r="F131" s="28"/>
      <c r="G131" s="28"/>
      <c r="H131" s="30"/>
      <c r="I131" s="104"/>
      <c r="M131" s="61" t="s">
        <v>251</v>
      </c>
      <c r="N131" s="6">
        <f>N130+O141</f>
        <v>4352.7649999999994</v>
      </c>
    </row>
    <row r="132" spans="1:16">
      <c r="C132" s="36"/>
      <c r="D132" s="36"/>
      <c r="F132" s="28"/>
      <c r="G132" s="28"/>
      <c r="H132" s="30"/>
      <c r="I132" s="104"/>
    </row>
    <row r="134" spans="1:16">
      <c r="A134" s="28"/>
      <c r="B134" s="28"/>
      <c r="E134" s="15"/>
      <c r="F134" s="1"/>
      <c r="G134" s="1"/>
      <c r="H134" s="1"/>
      <c r="J134" s="1"/>
      <c r="K134" s="1"/>
      <c r="L134" s="1"/>
      <c r="M134" s="1"/>
      <c r="N134" s="29"/>
    </row>
    <row r="135" spans="1:16">
      <c r="L135" s="1" t="s">
        <v>371</v>
      </c>
      <c r="M135" s="1"/>
    </row>
    <row r="136" spans="1:16">
      <c r="H136" s="30"/>
      <c r="L136" s="1" t="s">
        <v>367</v>
      </c>
      <c r="M136"/>
    </row>
    <row r="137" spans="1:16">
      <c r="L137" t="s">
        <v>368</v>
      </c>
      <c r="M137"/>
      <c r="O137">
        <f>100*0.7</f>
        <v>70</v>
      </c>
      <c r="P137" s="42"/>
    </row>
    <row r="138" spans="1:16">
      <c r="L138" s="1" t="s">
        <v>372</v>
      </c>
    </row>
    <row r="139" spans="1:16">
      <c r="L139" s="1" t="s">
        <v>373</v>
      </c>
      <c r="O139">
        <v>-174</v>
      </c>
      <c r="P139" s="42"/>
    </row>
    <row r="140" spans="1:16">
      <c r="L140" s="1" t="s">
        <v>374</v>
      </c>
      <c r="O140">
        <v>-16.52</v>
      </c>
    </row>
    <row r="141" spans="1:16">
      <c r="O141">
        <f>SUM(O137:O140)</f>
        <v>-120.52</v>
      </c>
      <c r="P141" s="42"/>
    </row>
  </sheetData>
  <autoFilter ref="A1:P131">
    <sortState ref="A2:P99">
      <sortCondition ref="B1:B99"/>
    </sortState>
  </autoFilter>
  <pageMargins left="0.7" right="0.7" top="0.75" bottom="0.75" header="0.3" footer="0.3"/>
  <pageSetup paperSize="9"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>
  <dimension ref="A1:P143"/>
  <sheetViews>
    <sheetView topLeftCell="A126" workbookViewId="0">
      <selection activeCell="A131" sqref="A131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2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44</v>
      </c>
      <c r="B19" s="2"/>
      <c r="C19" s="4">
        <v>43196</v>
      </c>
      <c r="D19" s="4"/>
      <c r="E19" s="4">
        <v>43250</v>
      </c>
      <c r="F19" s="5"/>
      <c r="G19" s="49"/>
      <c r="H19" s="5">
        <v>13.78</v>
      </c>
      <c r="I19" s="102">
        <f>25*24/30+25</f>
        <v>45</v>
      </c>
      <c r="J19" s="5"/>
      <c r="K19" s="5"/>
      <c r="L19" s="6">
        <v>11</v>
      </c>
      <c r="M19" s="61">
        <v>25</v>
      </c>
      <c r="N19" s="6">
        <v>9.7999999999999989</v>
      </c>
    </row>
    <row r="20" spans="1:15">
      <c r="A20" s="22" t="s">
        <v>47</v>
      </c>
      <c r="B20" s="22"/>
      <c r="C20" s="4">
        <v>43355</v>
      </c>
      <c r="D20" s="4"/>
      <c r="E20" s="4">
        <v>43277</v>
      </c>
      <c r="F20" s="5"/>
      <c r="G20" s="49"/>
      <c r="H20" s="5">
        <v>19.98</v>
      </c>
      <c r="I20" s="102">
        <f>36*2+36/30*16</f>
        <v>91.2</v>
      </c>
      <c r="J20" s="5"/>
      <c r="K20" s="5"/>
      <c r="L20" s="6">
        <v>105</v>
      </c>
      <c r="M20" s="61">
        <v>36</v>
      </c>
      <c r="N20" s="6">
        <f t="shared" si="0"/>
        <v>48.3</v>
      </c>
    </row>
    <row r="21" spans="1:15">
      <c r="A21" s="22" t="s">
        <v>48</v>
      </c>
      <c r="B21" s="22"/>
      <c r="C21" s="4">
        <v>43367</v>
      </c>
      <c r="D21" s="4"/>
      <c r="E21" s="4">
        <v>43284</v>
      </c>
      <c r="F21" s="5"/>
      <c r="G21" s="49"/>
      <c r="H21" s="5">
        <v>9.1</v>
      </c>
      <c r="I21" s="102">
        <f>25+25/30*27</f>
        <v>47.5</v>
      </c>
      <c r="J21" s="5"/>
      <c r="K21" s="5"/>
      <c r="L21" s="6">
        <v>75</v>
      </c>
      <c r="M21" s="61">
        <v>25</v>
      </c>
      <c r="N21" s="6">
        <f t="shared" si="0"/>
        <v>35</v>
      </c>
    </row>
    <row r="22" spans="1:15">
      <c r="A22" s="2" t="s">
        <v>45</v>
      </c>
      <c r="B22" s="2"/>
      <c r="C22" s="4"/>
      <c r="D22" s="4"/>
      <c r="E22" s="4">
        <v>43286</v>
      </c>
      <c r="F22" s="5"/>
      <c r="G22" s="49"/>
      <c r="H22" s="5">
        <v>11.56</v>
      </c>
      <c r="I22" s="102"/>
      <c r="J22" s="5"/>
      <c r="K22" s="5"/>
      <c r="L22" s="6">
        <v>150</v>
      </c>
      <c r="M22" s="61">
        <v>76</v>
      </c>
      <c r="N22" s="6">
        <f t="shared" si="0"/>
        <v>51.8</v>
      </c>
      <c r="O22" s="20"/>
    </row>
    <row r="23" spans="1:15">
      <c r="A23" s="22" t="s">
        <v>49</v>
      </c>
      <c r="B23" s="22"/>
      <c r="C23" s="4">
        <v>43367</v>
      </c>
      <c r="D23" s="4"/>
      <c r="E23" s="4">
        <v>43291</v>
      </c>
      <c r="F23" s="5"/>
      <c r="G23" s="49"/>
      <c r="H23" s="5">
        <v>10.039999999999999</v>
      </c>
      <c r="I23" s="102">
        <f>50+25/30*14</f>
        <v>61.666666666666671</v>
      </c>
      <c r="J23" s="5"/>
      <c r="K23" s="5"/>
      <c r="L23" s="6">
        <v>50</v>
      </c>
      <c r="M23" s="61">
        <v>22</v>
      </c>
      <c r="N23" s="18">
        <f t="shared" si="0"/>
        <v>19.599999999999998</v>
      </c>
    </row>
    <row r="24" spans="1:15">
      <c r="A24" s="22" t="s">
        <v>51</v>
      </c>
      <c r="B24" s="22"/>
      <c r="C24" s="4">
        <v>43358</v>
      </c>
      <c r="D24" s="4"/>
      <c r="E24" s="4">
        <v>43291</v>
      </c>
      <c r="F24" s="5"/>
      <c r="G24" s="49"/>
      <c r="H24" s="5">
        <v>10.039999999999999</v>
      </c>
      <c r="I24" s="102">
        <f>50+25/30*5</f>
        <v>54.166666666666664</v>
      </c>
      <c r="J24" s="5"/>
      <c r="K24" s="5"/>
      <c r="L24" s="6">
        <v>75</v>
      </c>
      <c r="M24" s="61">
        <v>25</v>
      </c>
      <c r="N24" s="6">
        <f t="shared" si="0"/>
        <v>35</v>
      </c>
    </row>
    <row r="25" spans="1:15">
      <c r="A25" s="22" t="s">
        <v>52</v>
      </c>
      <c r="B25" s="22"/>
      <c r="C25" s="4">
        <v>43367</v>
      </c>
      <c r="D25" s="4"/>
      <c r="E25" s="4">
        <v>43308</v>
      </c>
      <c r="F25" s="5"/>
      <c r="G25" s="49"/>
      <c r="H25" s="5">
        <v>10.86</v>
      </c>
      <c r="I25" s="102">
        <f>25+25/30*27</f>
        <v>47.5</v>
      </c>
      <c r="J25" s="5"/>
      <c r="K25" s="5"/>
      <c r="L25" s="6">
        <v>75</v>
      </c>
      <c r="M25" s="61">
        <v>25</v>
      </c>
      <c r="N25" s="27">
        <f t="shared" si="0"/>
        <v>35</v>
      </c>
    </row>
    <row r="26" spans="1:15">
      <c r="A26" s="22" t="s">
        <v>50</v>
      </c>
      <c r="B26" s="22"/>
      <c r="C26" s="4">
        <v>43367</v>
      </c>
      <c r="D26" s="4"/>
      <c r="E26" s="4">
        <v>43312</v>
      </c>
      <c r="F26" s="5"/>
      <c r="G26" s="49"/>
      <c r="H26" s="5">
        <v>10.86</v>
      </c>
      <c r="I26" s="102">
        <f>25+25/30*24</f>
        <v>45</v>
      </c>
      <c r="J26" s="5"/>
      <c r="K26" s="5"/>
      <c r="L26" s="6">
        <v>70</v>
      </c>
      <c r="M26" s="61">
        <v>25</v>
      </c>
      <c r="N26" s="6">
        <f t="shared" si="0"/>
        <v>31.499999999999996</v>
      </c>
    </row>
    <row r="27" spans="1:15">
      <c r="A27" s="22" t="s">
        <v>55</v>
      </c>
      <c r="B27" s="22"/>
      <c r="C27" s="4">
        <v>43363</v>
      </c>
      <c r="D27" s="4"/>
      <c r="E27" s="4">
        <v>43440</v>
      </c>
      <c r="F27" s="5"/>
      <c r="G27" s="49"/>
      <c r="H27" s="5">
        <v>14.11</v>
      </c>
      <c r="I27" s="102">
        <f>25*2+25*16/30</f>
        <v>63.333333333333336</v>
      </c>
      <c r="J27" s="5"/>
      <c r="K27" s="5"/>
      <c r="L27" s="6">
        <v>75</v>
      </c>
      <c r="M27" s="61">
        <v>25</v>
      </c>
      <c r="N27" s="6">
        <f t="shared" si="0"/>
        <v>35</v>
      </c>
    </row>
    <row r="28" spans="1:15">
      <c r="A28" s="22" t="s">
        <v>54</v>
      </c>
      <c r="B28" s="22"/>
      <c r="C28" s="4">
        <v>43167</v>
      </c>
      <c r="D28" s="4"/>
      <c r="E28" s="4">
        <v>43455</v>
      </c>
      <c r="F28" s="5"/>
      <c r="G28" s="49"/>
      <c r="H28" s="5">
        <v>10.86</v>
      </c>
      <c r="I28" s="102">
        <f>9*25+25*13/30</f>
        <v>235.83333333333334</v>
      </c>
      <c r="J28" s="5"/>
      <c r="K28" s="5"/>
      <c r="L28" s="6">
        <v>90</v>
      </c>
      <c r="M28" s="61">
        <v>36</v>
      </c>
      <c r="N28" s="6">
        <f t="shared" si="0"/>
        <v>37.799999999999997</v>
      </c>
    </row>
    <row r="29" spans="1:15">
      <c r="A29" s="22" t="s">
        <v>57</v>
      </c>
      <c r="B29" s="55"/>
      <c r="C29" s="31">
        <v>43478</v>
      </c>
      <c r="D29" s="31"/>
      <c r="E29" s="4">
        <v>43536</v>
      </c>
      <c r="F29" s="5"/>
      <c r="G29" s="49"/>
      <c r="H29" s="5">
        <v>10.86</v>
      </c>
      <c r="I29" s="102">
        <v>25</v>
      </c>
      <c r="J29" s="5"/>
      <c r="K29" s="5"/>
      <c r="L29" s="6">
        <v>70</v>
      </c>
      <c r="M29" s="61">
        <v>25</v>
      </c>
      <c r="N29" s="6">
        <f t="shared" si="0"/>
        <v>31.499999999999996</v>
      </c>
    </row>
    <row r="30" spans="1:15">
      <c r="A30" s="22" t="s">
        <v>59</v>
      </c>
      <c r="B30" s="22"/>
      <c r="C30" s="4">
        <v>43528</v>
      </c>
      <c r="D30" s="4"/>
      <c r="E30" s="4">
        <v>43538</v>
      </c>
      <c r="F30" s="5"/>
      <c r="G30" s="49"/>
      <c r="H30" s="5">
        <v>14.92</v>
      </c>
      <c r="I30" s="102">
        <f>77/30*10</f>
        <v>25.666666666666668</v>
      </c>
      <c r="J30" s="5"/>
      <c r="K30" s="5"/>
      <c r="L30" s="6">
        <v>169</v>
      </c>
      <c r="M30" s="61">
        <f>64+11+2</f>
        <v>77</v>
      </c>
      <c r="N30" s="6">
        <f t="shared" si="0"/>
        <v>64.399999999999991</v>
      </c>
    </row>
    <row r="31" spans="1:15">
      <c r="A31" s="22" t="s">
        <v>58</v>
      </c>
      <c r="B31" s="22"/>
      <c r="C31" s="4">
        <v>43534</v>
      </c>
      <c r="D31" s="4"/>
      <c r="E31" s="4">
        <v>43542</v>
      </c>
      <c r="F31" s="5"/>
      <c r="G31" s="49"/>
      <c r="H31" s="5">
        <f>10.86*2</f>
        <v>21.72</v>
      </c>
      <c r="I31" s="102">
        <v>0</v>
      </c>
      <c r="J31" s="5"/>
      <c r="K31" s="5"/>
      <c r="L31" s="6">
        <v>60</v>
      </c>
      <c r="M31" s="61">
        <v>33</v>
      </c>
      <c r="N31" s="6">
        <v>18.899999999999999</v>
      </c>
    </row>
    <row r="32" spans="1:15">
      <c r="A32" s="22" t="s">
        <v>61</v>
      </c>
      <c r="B32" s="22"/>
      <c r="C32" s="4">
        <v>43482</v>
      </c>
      <c r="D32" s="4"/>
      <c r="E32" s="4">
        <v>43542</v>
      </c>
      <c r="F32" s="5"/>
      <c r="G32" s="49"/>
      <c r="H32" s="5">
        <v>11.1</v>
      </c>
      <c r="I32" s="102">
        <f>25*2</f>
        <v>50</v>
      </c>
      <c r="J32" s="5"/>
      <c r="K32" s="5"/>
      <c r="L32" s="6">
        <v>70</v>
      </c>
      <c r="M32" s="61">
        <v>26</v>
      </c>
      <c r="N32" s="6">
        <f t="shared" si="0"/>
        <v>30.799999999999997</v>
      </c>
    </row>
    <row r="33" spans="1:16">
      <c r="A33" s="22" t="s">
        <v>67</v>
      </c>
      <c r="B33" s="22"/>
      <c r="C33" s="4">
        <v>43600</v>
      </c>
      <c r="D33" s="4"/>
      <c r="E33" s="4">
        <v>43629</v>
      </c>
      <c r="F33" s="5"/>
      <c r="G33" s="49"/>
      <c r="H33" s="5">
        <f>10.86*2</f>
        <v>21.72</v>
      </c>
      <c r="I33" s="102">
        <f>22/30*58</f>
        <v>42.533333333333331</v>
      </c>
      <c r="J33" s="5">
        <v>50</v>
      </c>
      <c r="K33" s="5">
        <f>H33+I33+J33</f>
        <v>114.25333333333333</v>
      </c>
      <c r="L33" s="6">
        <v>60</v>
      </c>
      <c r="M33" s="61">
        <v>25</v>
      </c>
      <c r="N33" s="6">
        <v>0</v>
      </c>
    </row>
    <row r="34" spans="1:16">
      <c r="A34" s="22" t="s">
        <v>66</v>
      </c>
      <c r="B34" s="22"/>
      <c r="C34" s="4">
        <v>43600</v>
      </c>
      <c r="D34" s="4"/>
      <c r="E34" s="4">
        <v>43629</v>
      </c>
      <c r="F34" s="5"/>
      <c r="G34" s="49"/>
      <c r="H34" s="5">
        <f>10.86</f>
        <v>10.86</v>
      </c>
      <c r="I34" s="102">
        <f>39/30*58</f>
        <v>75.400000000000006</v>
      </c>
      <c r="J34" s="5"/>
      <c r="K34" s="5">
        <f>H34+I34</f>
        <v>86.26</v>
      </c>
      <c r="L34" s="6">
        <v>110</v>
      </c>
      <c r="M34" s="61">
        <f>25+11+3</f>
        <v>39</v>
      </c>
      <c r="N34" s="6">
        <v>0</v>
      </c>
      <c r="O34" t="s">
        <v>73</v>
      </c>
    </row>
    <row r="35" spans="1:16">
      <c r="A35" s="22" t="s">
        <v>64</v>
      </c>
      <c r="B35" s="22"/>
      <c r="C35" s="4">
        <v>43627</v>
      </c>
      <c r="D35" s="4"/>
      <c r="E35" s="4">
        <v>43629</v>
      </c>
      <c r="F35" s="5"/>
      <c r="G35" s="49"/>
      <c r="H35" s="5">
        <v>10.86</v>
      </c>
      <c r="I35" s="102">
        <f>25/30*2</f>
        <v>1.6666666666666667</v>
      </c>
      <c r="J35" s="5"/>
      <c r="K35" s="5">
        <f>H35+I35</f>
        <v>12.526666666666666</v>
      </c>
      <c r="L35" s="6">
        <v>200</v>
      </c>
      <c r="M35" s="61">
        <v>11</v>
      </c>
      <c r="N35" s="5">
        <f t="shared" ref="N35:N47" si="1">(L35-M35)*0.7</f>
        <v>132.29999999999998</v>
      </c>
    </row>
    <row r="36" spans="1:16">
      <c r="A36" s="22" t="s">
        <v>65</v>
      </c>
      <c r="B36" s="22"/>
      <c r="C36" s="4">
        <v>43622</v>
      </c>
      <c r="D36" s="4"/>
      <c r="E36" s="4">
        <v>43650</v>
      </c>
      <c r="F36" s="5"/>
      <c r="G36" s="49"/>
      <c r="H36" s="5">
        <v>10.86</v>
      </c>
      <c r="I36" s="102"/>
      <c r="J36" s="5"/>
      <c r="K36" s="5"/>
      <c r="L36" s="6">
        <v>120</v>
      </c>
      <c r="M36" s="61">
        <v>60</v>
      </c>
      <c r="N36" s="6">
        <f t="shared" si="1"/>
        <v>42</v>
      </c>
    </row>
    <row r="37" spans="1:16">
      <c r="A37" s="22" t="s">
        <v>71</v>
      </c>
      <c r="B37" s="22"/>
      <c r="C37" s="4">
        <v>43635</v>
      </c>
      <c r="D37" s="4"/>
      <c r="E37" s="4">
        <v>43662</v>
      </c>
      <c r="F37" s="5"/>
      <c r="G37" s="49"/>
      <c r="H37" s="5">
        <f>10.86*2</f>
        <v>21.72</v>
      </c>
      <c r="I37" s="102"/>
      <c r="J37" s="5"/>
      <c r="K37" s="5"/>
      <c r="L37" s="6">
        <v>70</v>
      </c>
      <c r="M37" s="61">
        <v>26</v>
      </c>
      <c r="N37" s="6">
        <f t="shared" si="1"/>
        <v>30.799999999999997</v>
      </c>
      <c r="O37" t="s">
        <v>72</v>
      </c>
    </row>
    <row r="38" spans="1:16">
      <c r="A38" s="2" t="s">
        <v>75</v>
      </c>
      <c r="B38" s="2"/>
      <c r="C38" s="4">
        <v>43656</v>
      </c>
      <c r="D38" s="4"/>
      <c r="E38" s="4">
        <v>43711</v>
      </c>
      <c r="F38" s="5"/>
      <c r="G38" s="49"/>
      <c r="H38" s="5">
        <v>10.86</v>
      </c>
      <c r="I38" s="102">
        <f>36/30*48</f>
        <v>57.599999999999994</v>
      </c>
      <c r="J38" s="5"/>
      <c r="K38" s="5"/>
      <c r="L38" s="6">
        <v>105</v>
      </c>
      <c r="M38" s="61">
        <v>36</v>
      </c>
      <c r="N38" s="6">
        <f t="shared" si="1"/>
        <v>48.3</v>
      </c>
    </row>
    <row r="39" spans="1:16">
      <c r="A39" s="2" t="s">
        <v>76</v>
      </c>
      <c r="B39" s="2"/>
      <c r="C39" s="4">
        <v>43677</v>
      </c>
      <c r="D39" s="4"/>
      <c r="E39" s="4">
        <v>43713</v>
      </c>
      <c r="F39" s="5"/>
      <c r="G39" s="49"/>
      <c r="H39" s="5">
        <v>24.06</v>
      </c>
      <c r="I39" s="102">
        <f>80/30*35</f>
        <v>93.333333333333329</v>
      </c>
      <c r="J39" s="5">
        <v>40</v>
      </c>
      <c r="K39" s="5"/>
      <c r="L39" s="6">
        <v>149</v>
      </c>
      <c r="M39" s="61">
        <v>80</v>
      </c>
      <c r="N39" s="6">
        <f t="shared" si="1"/>
        <v>48.3</v>
      </c>
      <c r="O39" t="s">
        <v>79</v>
      </c>
    </row>
    <row r="40" spans="1:16">
      <c r="A40" s="10" t="s">
        <v>81</v>
      </c>
      <c r="B40" s="10"/>
      <c r="C40" s="11">
        <v>45444</v>
      </c>
      <c r="D40" s="11"/>
      <c r="E40" s="11">
        <v>45408</v>
      </c>
      <c r="F40" s="12"/>
      <c r="G40" s="12"/>
      <c r="H40" s="12"/>
      <c r="I40" s="106">
        <f>43/30*34</f>
        <v>48.733333333333334</v>
      </c>
      <c r="J40" s="12"/>
      <c r="K40" s="12"/>
      <c r="L40" s="12">
        <v>129</v>
      </c>
      <c r="M40" s="107">
        <v>61</v>
      </c>
      <c r="N40" s="12">
        <f t="shared" si="1"/>
        <v>47.599999999999994</v>
      </c>
    </row>
    <row r="41" spans="1:16">
      <c r="A41" s="22" t="s">
        <v>87</v>
      </c>
      <c r="B41" s="22"/>
      <c r="C41" s="35">
        <v>43878</v>
      </c>
      <c r="D41" s="35"/>
      <c r="E41" s="35">
        <v>43892</v>
      </c>
      <c r="F41" s="5"/>
      <c r="G41" s="49"/>
      <c r="H41" s="5">
        <v>12.19</v>
      </c>
      <c r="I41" s="102"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22" t="s">
        <v>89</v>
      </c>
      <c r="B42" s="22"/>
      <c r="C42" s="35">
        <v>43908</v>
      </c>
      <c r="D42" s="35"/>
      <c r="E42" s="35">
        <v>43893</v>
      </c>
      <c r="F42" s="5"/>
      <c r="G42" s="49"/>
      <c r="H42" s="5">
        <v>9.6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6">
      <c r="A43" s="22" t="s">
        <v>85</v>
      </c>
      <c r="B43" s="22"/>
      <c r="C43" s="35">
        <v>43881</v>
      </c>
      <c r="D43" s="35"/>
      <c r="E43" s="35">
        <v>43895</v>
      </c>
      <c r="F43" s="5"/>
      <c r="G43" s="49"/>
      <c r="H43" s="5">
        <v>9.14</v>
      </c>
      <c r="I43" s="102">
        <f>11/30*15</f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6">
      <c r="A44" s="39" t="s">
        <v>82</v>
      </c>
      <c r="B44" s="28"/>
      <c r="C44" s="36">
        <v>40235</v>
      </c>
      <c r="D44" s="36"/>
      <c r="E44" s="36">
        <v>43901</v>
      </c>
      <c r="F44" s="5"/>
      <c r="G44" s="34"/>
      <c r="H44" s="37">
        <v>9.6</v>
      </c>
      <c r="I44" s="102">
        <f>11/2</f>
        <v>5.5</v>
      </c>
      <c r="J44" s="5"/>
      <c r="K44" s="5"/>
      <c r="L44" s="17">
        <v>25</v>
      </c>
      <c r="M44" s="63">
        <v>11</v>
      </c>
      <c r="N44" s="26">
        <f t="shared" si="1"/>
        <v>9.7999999999999989</v>
      </c>
    </row>
    <row r="45" spans="1:16">
      <c r="A45" s="22" t="s">
        <v>84</v>
      </c>
      <c r="B45" s="22"/>
      <c r="C45" s="35">
        <v>43889</v>
      </c>
      <c r="D45" s="35"/>
      <c r="E45" s="35">
        <v>43903</v>
      </c>
      <c r="F45" s="5"/>
      <c r="G45" s="49"/>
      <c r="H45" s="5">
        <v>9.14</v>
      </c>
      <c r="I45" s="102">
        <f>11/30*15</f>
        <v>5.5</v>
      </c>
      <c r="J45" s="5"/>
      <c r="K45" s="5"/>
      <c r="L45" s="6">
        <v>25</v>
      </c>
      <c r="M45" s="61">
        <v>11</v>
      </c>
      <c r="N45" s="6">
        <f t="shared" si="1"/>
        <v>9.7999999999999989</v>
      </c>
    </row>
    <row r="46" spans="1:16">
      <c r="A46" s="22" t="s">
        <v>80</v>
      </c>
      <c r="B46" s="22"/>
      <c r="C46" s="35">
        <v>43873</v>
      </c>
      <c r="D46" s="35"/>
      <c r="E46" s="35">
        <v>43910</v>
      </c>
      <c r="F46" s="5"/>
      <c r="G46" s="49"/>
      <c r="H46" s="5">
        <v>21.84</v>
      </c>
      <c r="I46" s="102">
        <f>56/30*38</f>
        <v>70.933333333333337</v>
      </c>
      <c r="J46" s="5"/>
      <c r="K46" s="5"/>
      <c r="L46" s="6">
        <v>120</v>
      </c>
      <c r="M46" s="61">
        <v>56</v>
      </c>
      <c r="N46" s="6">
        <f t="shared" si="1"/>
        <v>44.8</v>
      </c>
    </row>
    <row r="47" spans="1:16">
      <c r="A47" s="22" t="s">
        <v>88</v>
      </c>
      <c r="B47" s="22"/>
      <c r="C47" s="35">
        <v>43855</v>
      </c>
      <c r="D47" s="35"/>
      <c r="E47" s="35">
        <v>43941</v>
      </c>
      <c r="F47" s="5"/>
      <c r="G47" s="49"/>
      <c r="H47" s="5">
        <v>13.93</v>
      </c>
      <c r="I47" s="102">
        <f>56/30*85</f>
        <v>158.66666666666666</v>
      </c>
      <c r="J47" s="5"/>
      <c r="K47" s="5"/>
      <c r="L47" s="6">
        <v>110</v>
      </c>
      <c r="M47" s="61">
        <v>56</v>
      </c>
      <c r="N47" s="6">
        <f t="shared" si="1"/>
        <v>37.799999999999997</v>
      </c>
    </row>
    <row r="48" spans="1:16">
      <c r="A48" s="22" t="s">
        <v>90</v>
      </c>
      <c r="B48" s="22"/>
      <c r="C48" s="35" t="s">
        <v>96</v>
      </c>
      <c r="D48" s="35"/>
      <c r="E48" s="35">
        <v>44015</v>
      </c>
      <c r="F48" s="5" t="s">
        <v>160</v>
      </c>
      <c r="G48" s="49">
        <v>12.5</v>
      </c>
      <c r="H48" s="5">
        <v>11.29</v>
      </c>
      <c r="I48" s="102">
        <f>100</f>
        <v>100</v>
      </c>
      <c r="J48" s="5"/>
      <c r="K48" s="5"/>
      <c r="L48" s="6">
        <v>105</v>
      </c>
      <c r="M48" s="61">
        <f>25+11+22</f>
        <v>58</v>
      </c>
      <c r="N48" s="6">
        <f>12.5+(92.5-M48)*0.7</f>
        <v>36.65</v>
      </c>
      <c r="P48" s="41"/>
    </row>
    <row r="49" spans="1:16">
      <c r="A49" s="22" t="s">
        <v>97</v>
      </c>
      <c r="B49" s="22"/>
      <c r="C49" s="35">
        <v>43990</v>
      </c>
      <c r="D49" s="35"/>
      <c r="E49" s="35">
        <v>44036</v>
      </c>
      <c r="F49" s="5"/>
      <c r="G49" s="49"/>
      <c r="H49" s="5">
        <v>8.75</v>
      </c>
      <c r="I49" s="102">
        <f>56/30*46</f>
        <v>85.866666666666674</v>
      </c>
      <c r="J49" s="5"/>
      <c r="K49" s="5"/>
      <c r="L49" s="6">
        <v>110</v>
      </c>
      <c r="M49" s="61">
        <f>45+11</f>
        <v>56</v>
      </c>
      <c r="N49" s="6">
        <f>(L49-M49)*0.7</f>
        <v>37.799999999999997</v>
      </c>
    </row>
    <row r="50" spans="1:16">
      <c r="A50" s="22" t="s">
        <v>95</v>
      </c>
      <c r="B50" s="22"/>
      <c r="C50" s="35">
        <v>44028</v>
      </c>
      <c r="D50" s="35"/>
      <c r="E50" s="35">
        <v>44040</v>
      </c>
      <c r="F50" s="5"/>
      <c r="G50" s="49"/>
      <c r="H50" s="5">
        <v>8.75</v>
      </c>
      <c r="I50" s="102">
        <f>41/30*12</f>
        <v>16.399999999999999</v>
      </c>
      <c r="J50" s="5"/>
      <c r="K50" s="5"/>
      <c r="L50" s="6">
        <v>60</v>
      </c>
      <c r="M50" s="61">
        <v>41</v>
      </c>
      <c r="N50" s="6">
        <f>(L50-M50)*0.7</f>
        <v>13.299999999999999</v>
      </c>
    </row>
    <row r="51" spans="1:16">
      <c r="A51" s="22" t="s">
        <v>94</v>
      </c>
      <c r="B51" s="22"/>
      <c r="C51" s="35">
        <v>44011</v>
      </c>
      <c r="D51" s="35"/>
      <c r="E51" s="35">
        <v>44084</v>
      </c>
      <c r="F51" s="5"/>
      <c r="G51" s="49"/>
      <c r="H51" s="5">
        <v>11.29</v>
      </c>
      <c r="I51" s="102">
        <f>25/30*71</f>
        <v>59.166666666666671</v>
      </c>
      <c r="J51" s="5"/>
      <c r="K51" s="5"/>
      <c r="L51" s="6">
        <v>40</v>
      </c>
      <c r="M51" s="61">
        <v>25</v>
      </c>
      <c r="N51" s="6">
        <f>(L51-M51)*0.7</f>
        <v>10.5</v>
      </c>
    </row>
    <row r="52" spans="1:16">
      <c r="A52" s="2" t="s">
        <v>99</v>
      </c>
      <c r="B52" s="2"/>
      <c r="C52" s="35">
        <v>44084</v>
      </c>
      <c r="D52" s="35"/>
      <c r="E52" s="35">
        <v>44105</v>
      </c>
      <c r="F52" s="5" t="s">
        <v>160</v>
      </c>
      <c r="G52" s="49">
        <v>5</v>
      </c>
      <c r="H52" s="5">
        <v>12.24</v>
      </c>
      <c r="I52" s="102">
        <f>25/30*20</f>
        <v>16.666666666666668</v>
      </c>
      <c r="J52" s="5"/>
      <c r="K52" s="5"/>
      <c r="L52" s="43">
        <v>40</v>
      </c>
      <c r="M52" s="61">
        <v>22</v>
      </c>
      <c r="N52" s="6">
        <f>5+13*0.7</f>
        <v>14.1</v>
      </c>
      <c r="P52" s="41"/>
    </row>
    <row r="53" spans="1:16">
      <c r="A53" s="2" t="s">
        <v>102</v>
      </c>
      <c r="B53" s="2"/>
      <c r="C53" s="4" t="s">
        <v>103</v>
      </c>
      <c r="D53" s="4"/>
      <c r="E53" s="4">
        <v>44110</v>
      </c>
      <c r="F53" s="5" t="s">
        <v>160</v>
      </c>
      <c r="G53" s="49">
        <v>10</v>
      </c>
      <c r="H53" s="5">
        <v>36.65</v>
      </c>
      <c r="I53" s="102">
        <f>115/30*26</f>
        <v>99.666666666666671</v>
      </c>
      <c r="J53" s="5"/>
      <c r="K53" s="5"/>
      <c r="L53" s="6">
        <v>180</v>
      </c>
      <c r="M53" s="61">
        <v>115</v>
      </c>
      <c r="N53" s="6">
        <f>10+55*0.7</f>
        <v>48.5</v>
      </c>
      <c r="P53" s="41"/>
    </row>
    <row r="54" spans="1:16">
      <c r="A54" s="2" t="s">
        <v>94</v>
      </c>
      <c r="B54" s="2"/>
      <c r="C54" s="35">
        <v>44124</v>
      </c>
      <c r="D54" s="35"/>
      <c r="E54" s="35">
        <v>44124</v>
      </c>
      <c r="F54" s="5"/>
      <c r="G54" s="49"/>
      <c r="H54" s="5">
        <v>7.25</v>
      </c>
      <c r="I54" s="102">
        <v>0</v>
      </c>
      <c r="J54" s="5"/>
      <c r="K54" s="5"/>
      <c r="L54" s="6">
        <v>25</v>
      </c>
      <c r="M54" s="61">
        <v>11</v>
      </c>
      <c r="N54" s="6">
        <f>(L54-M54)*0.7</f>
        <v>9.7999999999999989</v>
      </c>
    </row>
    <row r="55" spans="1:16">
      <c r="A55" s="2" t="s">
        <v>100</v>
      </c>
      <c r="B55" s="2"/>
      <c r="C55" s="4">
        <v>44018</v>
      </c>
      <c r="D55" s="4"/>
      <c r="E55" s="4">
        <v>44124</v>
      </c>
      <c r="F55" s="40"/>
      <c r="G55" s="2"/>
      <c r="H55" s="5">
        <v>9.5</v>
      </c>
      <c r="I55" s="102">
        <f>25/30*104</f>
        <v>86.666666666666671</v>
      </c>
      <c r="J55" s="5"/>
      <c r="K55" s="5"/>
      <c r="L55" s="6">
        <v>70</v>
      </c>
      <c r="M55" s="61">
        <v>25</v>
      </c>
      <c r="N55" s="6">
        <f>(L55-M55)*0.7</f>
        <v>31.499999999999996</v>
      </c>
    </row>
    <row r="56" spans="1:16">
      <c r="A56" s="2" t="s">
        <v>101</v>
      </c>
      <c r="B56" s="2"/>
      <c r="C56" s="4">
        <v>44070</v>
      </c>
      <c r="D56" s="4"/>
      <c r="E56" s="4">
        <v>44131</v>
      </c>
      <c r="F56" s="40"/>
      <c r="G56" s="2"/>
      <c r="H56" s="5">
        <v>13.93</v>
      </c>
      <c r="I56" s="102">
        <f>71/30*60</f>
        <v>142</v>
      </c>
      <c r="J56" s="5"/>
      <c r="K56" s="5"/>
      <c r="L56" s="6">
        <v>120</v>
      </c>
      <c r="M56" s="61">
        <f>60+11</f>
        <v>71</v>
      </c>
      <c r="N56" s="6">
        <f>(L56-M56)*0.7</f>
        <v>34.299999999999997</v>
      </c>
    </row>
    <row r="57" spans="1:16">
      <c r="A57" s="22" t="s">
        <v>104</v>
      </c>
      <c r="B57" s="22"/>
      <c r="C57" s="4">
        <v>44159</v>
      </c>
      <c r="D57" s="4"/>
      <c r="E57" s="4">
        <v>44187</v>
      </c>
      <c r="F57" s="40"/>
      <c r="G57" s="2"/>
      <c r="H57" s="5">
        <v>13.93</v>
      </c>
      <c r="I57" s="102">
        <f>36/30*28</f>
        <v>33.6</v>
      </c>
      <c r="J57" s="5"/>
      <c r="K57" s="5"/>
      <c r="L57" s="6">
        <v>110</v>
      </c>
      <c r="M57" s="61">
        <f>25+11</f>
        <v>36</v>
      </c>
      <c r="N57" s="6">
        <f>(L57-M57)*0.7</f>
        <v>51.8</v>
      </c>
    </row>
    <row r="58" spans="1:16">
      <c r="A58" s="22" t="s">
        <v>120</v>
      </c>
      <c r="B58" s="22"/>
      <c r="C58" s="4">
        <v>44169</v>
      </c>
      <c r="D58" s="4"/>
      <c r="E58" s="4">
        <v>44208</v>
      </c>
      <c r="F58" s="5" t="s">
        <v>160</v>
      </c>
      <c r="G58" s="49">
        <v>10</v>
      </c>
      <c r="H58" s="5"/>
      <c r="I58" s="102">
        <f>41/30*38</f>
        <v>51.933333333333337</v>
      </c>
      <c r="J58" s="5"/>
      <c r="K58" s="5"/>
      <c r="L58" s="6">
        <v>70</v>
      </c>
      <c r="M58" s="61">
        <v>45</v>
      </c>
      <c r="N58" s="5">
        <f>10+(60-45)*0.7</f>
        <v>20.5</v>
      </c>
      <c r="O58" s="1" t="s">
        <v>145</v>
      </c>
    </row>
    <row r="59" spans="1:16">
      <c r="A59" s="22" t="s">
        <v>108</v>
      </c>
      <c r="B59" s="22"/>
      <c r="C59" s="4">
        <v>44185</v>
      </c>
      <c r="D59" s="4"/>
      <c r="E59" s="4">
        <v>44242</v>
      </c>
      <c r="F59" s="5" t="s">
        <v>160</v>
      </c>
      <c r="G59" s="49">
        <v>20</v>
      </c>
      <c r="H59" s="5">
        <v>26.48</v>
      </c>
      <c r="I59" s="102">
        <f>50/30*55</f>
        <v>91.666666666666671</v>
      </c>
      <c r="J59" s="5">
        <v>160</v>
      </c>
      <c r="K59" s="5"/>
      <c r="L59" s="6">
        <v>130</v>
      </c>
      <c r="M59" s="61">
        <v>34</v>
      </c>
      <c r="N59" s="5">
        <f>(20+(110-34)*0.7)</f>
        <v>73.199999999999989</v>
      </c>
      <c r="O59" s="1" t="s">
        <v>145</v>
      </c>
    </row>
    <row r="60" spans="1:16">
      <c r="A60" s="22" t="s">
        <v>109</v>
      </c>
      <c r="B60" s="22"/>
      <c r="C60" s="4">
        <v>44209</v>
      </c>
      <c r="D60" s="4"/>
      <c r="E60" s="4">
        <v>44250</v>
      </c>
      <c r="F60" s="5" t="s">
        <v>160</v>
      </c>
      <c r="G60" s="49">
        <v>22.5</v>
      </c>
      <c r="H60" s="5">
        <v>22.83</v>
      </c>
      <c r="I60" s="102">
        <f>100/30*40</f>
        <v>133.33333333333334</v>
      </c>
      <c r="J60" s="5">
        <v>125</v>
      </c>
      <c r="K60" s="5"/>
      <c r="L60" s="6">
        <v>210</v>
      </c>
      <c r="M60" s="61">
        <v>100</v>
      </c>
      <c r="N60" s="6">
        <f>(22.5+87.5*0.7)</f>
        <v>83.75</v>
      </c>
    </row>
    <row r="61" spans="1:16">
      <c r="A61" s="2" t="s">
        <v>113</v>
      </c>
      <c r="B61" s="2"/>
      <c r="C61" s="4">
        <v>44245</v>
      </c>
      <c r="D61" s="4"/>
      <c r="E61" s="4">
        <v>44271</v>
      </c>
      <c r="F61" s="5" t="s">
        <v>160</v>
      </c>
      <c r="G61" s="49">
        <v>15</v>
      </c>
      <c r="H61" s="5">
        <v>26.76</v>
      </c>
      <c r="I61" s="102">
        <f>67/30*28</f>
        <v>62.533333333333331</v>
      </c>
      <c r="J61" s="5"/>
      <c r="K61" s="5"/>
      <c r="L61" s="6">
        <v>140</v>
      </c>
      <c r="M61" s="61">
        <v>67</v>
      </c>
      <c r="N61" s="6">
        <f>(15+0.7*58)</f>
        <v>55.599999999999994</v>
      </c>
    </row>
    <row r="62" spans="1:16">
      <c r="A62" s="2" t="s">
        <v>112</v>
      </c>
      <c r="B62" s="2"/>
      <c r="C62" s="4">
        <v>44270</v>
      </c>
      <c r="D62" s="4"/>
      <c r="E62" s="4">
        <v>44286</v>
      </c>
      <c r="F62" s="5" t="s">
        <v>160</v>
      </c>
      <c r="G62" s="49">
        <v>17.5</v>
      </c>
      <c r="H62" s="5">
        <v>31.96</v>
      </c>
      <c r="I62" s="102">
        <f>55/30*16</f>
        <v>29.333333333333332</v>
      </c>
      <c r="J62" s="5">
        <v>75</v>
      </c>
      <c r="K62" s="5"/>
      <c r="L62" s="6">
        <v>100</v>
      </c>
      <c r="M62" s="61">
        <v>55</v>
      </c>
      <c r="N62" s="6">
        <f>(17.5+27.5*0.7)</f>
        <v>36.75</v>
      </c>
    </row>
    <row r="63" spans="1:16">
      <c r="A63" s="22" t="s">
        <v>121</v>
      </c>
      <c r="B63" s="22"/>
      <c r="C63" s="4">
        <v>44316</v>
      </c>
      <c r="D63" s="4"/>
      <c r="E63" s="4">
        <v>44354</v>
      </c>
      <c r="F63" s="40"/>
      <c r="G63" s="2"/>
      <c r="H63" s="5">
        <v>15.15</v>
      </c>
      <c r="I63" s="102">
        <f>36/30*37</f>
        <v>44.4</v>
      </c>
      <c r="J63" s="5"/>
      <c r="K63" s="5"/>
      <c r="L63" s="6">
        <v>110</v>
      </c>
      <c r="M63" s="61">
        <v>36</v>
      </c>
      <c r="N63" s="5">
        <f>(L63-M63)*0.7</f>
        <v>51.8</v>
      </c>
      <c r="O63" s="1" t="s">
        <v>145</v>
      </c>
    </row>
    <row r="64" spans="1:16">
      <c r="A64" s="22" t="s">
        <v>126</v>
      </c>
      <c r="B64" s="22"/>
      <c r="C64" s="4">
        <v>44336</v>
      </c>
      <c r="D64" s="4"/>
      <c r="E64" s="4">
        <v>44370</v>
      </c>
      <c r="F64" s="5" t="s">
        <v>161</v>
      </c>
      <c r="G64" s="49">
        <v>17.5</v>
      </c>
      <c r="H64" s="5">
        <v>35.78</v>
      </c>
      <c r="I64" s="102">
        <f>58/30*33</f>
        <v>63.8</v>
      </c>
      <c r="J64" s="5">
        <v>50</v>
      </c>
      <c r="K64" s="5"/>
      <c r="L64" s="6">
        <v>150</v>
      </c>
      <c r="M64" s="61">
        <v>58</v>
      </c>
      <c r="N64" s="6">
        <f>(17.5+74.5*0.7)</f>
        <v>69.650000000000006</v>
      </c>
    </row>
    <row r="65" spans="1:16">
      <c r="A65" s="44" t="s">
        <v>125</v>
      </c>
      <c r="B65" s="44"/>
      <c r="C65" s="4">
        <v>44342</v>
      </c>
      <c r="D65" s="4"/>
      <c r="E65" s="4">
        <v>44386</v>
      </c>
      <c r="F65" s="5" t="s">
        <v>160</v>
      </c>
      <c r="G65" s="49">
        <v>12.5</v>
      </c>
      <c r="H65" s="5">
        <v>15.46</v>
      </c>
      <c r="I65" s="102">
        <f>36/30*43</f>
        <v>51.6</v>
      </c>
      <c r="J65" s="5">
        <f>50+45</f>
        <v>95</v>
      </c>
      <c r="K65" s="5"/>
      <c r="L65" s="6">
        <v>80</v>
      </c>
      <c r="M65" s="61">
        <v>33</v>
      </c>
      <c r="N65" s="6">
        <f>12.5+(L65-M65-12.5)*0.7</f>
        <v>36.65</v>
      </c>
    </row>
    <row r="66" spans="1:16">
      <c r="A66" s="44" t="s">
        <v>129</v>
      </c>
      <c r="B66" s="44"/>
      <c r="C66" s="4">
        <v>44348</v>
      </c>
      <c r="D66" s="4"/>
      <c r="E66" s="4">
        <v>44389</v>
      </c>
      <c r="F66" s="5" t="s">
        <v>160</v>
      </c>
      <c r="G66" s="49">
        <v>12.5</v>
      </c>
      <c r="H66" s="5">
        <v>26.22</v>
      </c>
      <c r="I66" s="102">
        <f>71/30*42</f>
        <v>99.4</v>
      </c>
      <c r="J66" s="5">
        <f>50+45</f>
        <v>95</v>
      </c>
      <c r="K66" s="5"/>
      <c r="L66" s="6">
        <v>140</v>
      </c>
      <c r="M66" s="61">
        <v>71</v>
      </c>
      <c r="N66" s="6">
        <f>(12.5+(127.5-71)*0.7)</f>
        <v>52.05</v>
      </c>
    </row>
    <row r="67" spans="1:16">
      <c r="A67" s="44" t="s">
        <v>124</v>
      </c>
      <c r="B67" s="44"/>
      <c r="C67" s="4">
        <v>44348</v>
      </c>
      <c r="D67" s="4"/>
      <c r="E67" s="4">
        <v>44389</v>
      </c>
      <c r="F67" s="40"/>
      <c r="G67" s="2"/>
      <c r="H67" s="5">
        <v>11.62</v>
      </c>
      <c r="I67" s="102">
        <f>26/30*42</f>
        <v>36.4</v>
      </c>
      <c r="J67" s="5">
        <v>65</v>
      </c>
      <c r="K67" s="5"/>
      <c r="L67" s="6">
        <v>70</v>
      </c>
      <c r="M67" s="61">
        <v>26</v>
      </c>
      <c r="N67" s="6">
        <f>(70-26)*0.7</f>
        <v>30.799999999999997</v>
      </c>
    </row>
    <row r="68" spans="1:16">
      <c r="A68" s="44" t="s">
        <v>132</v>
      </c>
      <c r="B68" s="44"/>
      <c r="C68" s="4">
        <v>44407</v>
      </c>
      <c r="D68" s="4"/>
      <c r="E68" s="4">
        <v>44461</v>
      </c>
      <c r="F68" s="40"/>
      <c r="G68" s="2"/>
      <c r="H68" s="5">
        <v>9.8800000000000008</v>
      </c>
      <c r="I68" s="102">
        <f>25/30*52</f>
        <v>43.333333333333336</v>
      </c>
      <c r="J68" s="5"/>
      <c r="K68" s="5"/>
      <c r="L68" s="6">
        <v>40</v>
      </c>
      <c r="M68" s="61">
        <v>25</v>
      </c>
      <c r="N68" s="6">
        <f>(L68-M68)*0.7</f>
        <v>10.5</v>
      </c>
    </row>
    <row r="69" spans="1:16">
      <c r="A69" s="52" t="s">
        <v>141</v>
      </c>
      <c r="B69" s="52"/>
      <c r="C69" s="57">
        <v>44459</v>
      </c>
      <c r="D69" s="57"/>
      <c r="E69" s="57">
        <v>44481</v>
      </c>
      <c r="F69" s="10" t="s">
        <v>161</v>
      </c>
      <c r="G69" s="12">
        <v>10</v>
      </c>
      <c r="H69" s="25">
        <v>15.15</v>
      </c>
      <c r="I69" s="103">
        <f>46/30*22</f>
        <v>33.733333333333334</v>
      </c>
      <c r="J69" s="25">
        <v>80</v>
      </c>
      <c r="K69" s="25"/>
      <c r="L69" s="27">
        <v>120</v>
      </c>
      <c r="M69" s="64">
        <v>46</v>
      </c>
      <c r="N69" s="27">
        <f>10+(120-56)*0.7</f>
        <v>54.8</v>
      </c>
    </row>
    <row r="70" spans="1:16">
      <c r="A70" s="52" t="s">
        <v>140</v>
      </c>
      <c r="B70" s="52"/>
      <c r="C70" s="57">
        <v>44449</v>
      </c>
      <c r="D70" s="57"/>
      <c r="E70" s="57">
        <v>44482</v>
      </c>
      <c r="F70" s="25" t="s">
        <v>160</v>
      </c>
      <c r="G70" s="58">
        <v>10</v>
      </c>
      <c r="H70" s="25">
        <v>13.4</v>
      </c>
      <c r="I70" s="103">
        <f>60/30*33</f>
        <v>66</v>
      </c>
      <c r="J70" s="25">
        <v>80</v>
      </c>
      <c r="K70" s="25"/>
      <c r="L70" s="27">
        <v>120</v>
      </c>
      <c r="M70" s="64">
        <v>61</v>
      </c>
      <c r="N70" s="27">
        <f>(10+49*0.7)</f>
        <v>44.3</v>
      </c>
    </row>
    <row r="71" spans="1:16">
      <c r="A71" s="44" t="s">
        <v>137</v>
      </c>
      <c r="B71" s="44"/>
      <c r="C71" s="35">
        <v>44474</v>
      </c>
      <c r="D71" s="35"/>
      <c r="E71" s="35">
        <v>44487</v>
      </c>
      <c r="F71" s="10" t="s">
        <v>161</v>
      </c>
      <c r="G71" s="12">
        <v>12.5</v>
      </c>
      <c r="H71" s="5">
        <v>15.15</v>
      </c>
      <c r="I71" s="102">
        <f>71/30*13</f>
        <v>30.766666666666666</v>
      </c>
      <c r="J71" s="5">
        <v>95</v>
      </c>
      <c r="K71" s="5"/>
      <c r="L71" s="6">
        <v>140</v>
      </c>
      <c r="M71" s="61">
        <v>71</v>
      </c>
      <c r="N71" s="6">
        <f>12.5+(56.5)*0.7</f>
        <v>52.05</v>
      </c>
    </row>
    <row r="72" spans="1:16">
      <c r="A72" s="44" t="s">
        <v>143</v>
      </c>
      <c r="B72" s="44"/>
      <c r="C72" s="35">
        <v>43717</v>
      </c>
      <c r="D72" s="35"/>
      <c r="E72" s="35">
        <v>44505</v>
      </c>
      <c r="F72" s="40"/>
      <c r="G72" s="49"/>
      <c r="H72" s="5">
        <v>13.4</v>
      </c>
      <c r="I72" s="102">
        <f>36*25+36/30*26</f>
        <v>931.2</v>
      </c>
      <c r="J72" s="5"/>
      <c r="K72" s="5"/>
      <c r="L72" s="6">
        <v>100</v>
      </c>
      <c r="M72" s="61">
        <v>36</v>
      </c>
      <c r="N72" s="6">
        <f>(100-36)*0.7</f>
        <v>44.8</v>
      </c>
    </row>
    <row r="73" spans="1:16">
      <c r="A73" s="44" t="s">
        <v>139</v>
      </c>
      <c r="B73" s="44"/>
      <c r="C73" s="35">
        <v>44492</v>
      </c>
      <c r="D73" s="35"/>
      <c r="E73" s="35">
        <v>44539</v>
      </c>
      <c r="F73" s="40"/>
      <c r="G73" s="49"/>
      <c r="H73" s="5">
        <v>16.350000000000001</v>
      </c>
      <c r="I73" s="102">
        <f>71/30*46</f>
        <v>108.86666666666667</v>
      </c>
      <c r="J73" s="5">
        <v>95</v>
      </c>
      <c r="K73" s="5"/>
      <c r="L73" s="6">
        <v>140</v>
      </c>
      <c r="M73" s="61">
        <v>71</v>
      </c>
      <c r="N73" s="12">
        <f>(140-71)*0.7</f>
        <v>48.3</v>
      </c>
      <c r="O73" s="72" t="s">
        <v>329</v>
      </c>
      <c r="P73" s="72">
        <v>33.81</v>
      </c>
    </row>
    <row r="74" spans="1:16">
      <c r="A74" s="44" t="s">
        <v>144</v>
      </c>
      <c r="B74" s="44"/>
      <c r="C74" s="35">
        <v>44526</v>
      </c>
      <c r="D74" s="35"/>
      <c r="E74" s="35">
        <v>44550</v>
      </c>
      <c r="F74" s="5" t="s">
        <v>160</v>
      </c>
      <c r="G74" s="49">
        <v>12.5</v>
      </c>
      <c r="H74" s="5">
        <v>13.4</v>
      </c>
      <c r="I74" s="102">
        <f>83/30*24</f>
        <v>66.400000000000006</v>
      </c>
      <c r="J74" s="5"/>
      <c r="K74" s="5"/>
      <c r="L74" s="6">
        <v>140</v>
      </c>
      <c r="M74" s="61">
        <v>94</v>
      </c>
      <c r="N74" s="6">
        <f>12.5+(140-12.5-94)*0.7</f>
        <v>35.950000000000003</v>
      </c>
    </row>
    <row r="75" spans="1:16">
      <c r="A75" s="44" t="s">
        <v>149</v>
      </c>
      <c r="B75" s="44"/>
      <c r="C75" s="35">
        <v>44880</v>
      </c>
      <c r="D75" s="35"/>
      <c r="E75" s="35">
        <v>44575</v>
      </c>
      <c r="F75" s="40"/>
      <c r="G75" s="49"/>
      <c r="H75" s="5">
        <v>13.4</v>
      </c>
      <c r="I75" s="102"/>
      <c r="J75" s="5">
        <v>50</v>
      </c>
      <c r="K75" s="5"/>
      <c r="L75" s="6">
        <v>160</v>
      </c>
      <c r="M75" s="61">
        <f>71+9</f>
        <v>80</v>
      </c>
      <c r="N75" s="6">
        <f>(160-80)*0.7</f>
        <v>56</v>
      </c>
    </row>
    <row r="76" spans="1:16">
      <c r="A76" s="44" t="s">
        <v>146</v>
      </c>
      <c r="B76" s="44"/>
      <c r="C76" s="4">
        <v>44586</v>
      </c>
      <c r="D76" s="4"/>
      <c r="E76" s="4">
        <v>44615</v>
      </c>
      <c r="F76" s="10" t="s">
        <v>161</v>
      </c>
      <c r="G76" s="12">
        <v>12.5</v>
      </c>
      <c r="H76" s="5">
        <v>15.46</v>
      </c>
      <c r="I76" s="102">
        <f>27/30*28</f>
        <v>25.2</v>
      </c>
      <c r="J76" s="5">
        <v>110</v>
      </c>
      <c r="K76" s="5"/>
      <c r="L76" s="6">
        <v>154</v>
      </c>
      <c r="M76" s="61">
        <v>72</v>
      </c>
      <c r="N76" s="6">
        <f>12.5+(154-12.5-62)*0.7</f>
        <v>68.150000000000006</v>
      </c>
    </row>
    <row r="77" spans="1:16">
      <c r="A77" s="44" t="s">
        <v>148</v>
      </c>
      <c r="B77" s="44"/>
      <c r="C77" s="4">
        <v>44579</v>
      </c>
      <c r="D77" s="4"/>
      <c r="E77" s="4">
        <v>44594</v>
      </c>
      <c r="F77" s="40"/>
      <c r="G77" s="49"/>
      <c r="H77" s="5">
        <v>13.4</v>
      </c>
      <c r="I77" s="102">
        <f>22/30*14</f>
        <v>10.266666666666666</v>
      </c>
      <c r="J77" s="5">
        <v>30</v>
      </c>
      <c r="K77" s="5"/>
      <c r="L77" s="6">
        <v>50</v>
      </c>
      <c r="M77" s="61">
        <v>22</v>
      </c>
      <c r="N77" s="6">
        <f>(50-22)*0.7</f>
        <v>19.599999999999998</v>
      </c>
    </row>
    <row r="78" spans="1:16">
      <c r="A78" s="44" t="s">
        <v>150</v>
      </c>
      <c r="B78" s="44"/>
      <c r="C78" s="4">
        <v>44899</v>
      </c>
      <c r="D78" s="4"/>
      <c r="E78" s="4">
        <v>44607</v>
      </c>
      <c r="F78" s="12" t="s">
        <v>160</v>
      </c>
      <c r="G78" s="12">
        <v>12.5</v>
      </c>
      <c r="H78" s="5">
        <v>13.4</v>
      </c>
      <c r="I78" s="102">
        <f>71/30*61</f>
        <v>144.36666666666667</v>
      </c>
      <c r="J78" s="5">
        <v>80</v>
      </c>
      <c r="K78" s="5"/>
      <c r="L78" s="6">
        <v>120</v>
      </c>
      <c r="M78" s="61">
        <v>60</v>
      </c>
      <c r="N78" s="6">
        <f>12.5+(120-72.5)*0.7</f>
        <v>45.75</v>
      </c>
    </row>
    <row r="79" spans="1:16">
      <c r="A79" s="44" t="s">
        <v>151</v>
      </c>
      <c r="B79" s="44"/>
      <c r="C79" s="4">
        <v>44926</v>
      </c>
      <c r="D79" s="4"/>
      <c r="E79" s="4">
        <v>44649</v>
      </c>
      <c r="F79" s="40"/>
      <c r="G79" s="40"/>
      <c r="H79" s="5">
        <v>9.0299999999999994</v>
      </c>
      <c r="I79" s="102">
        <f>25*2+25/30*29</f>
        <v>74.166666666666671</v>
      </c>
      <c r="J79" s="5">
        <v>80</v>
      </c>
      <c r="K79" s="5"/>
      <c r="L79" s="6">
        <v>67.5</v>
      </c>
      <c r="M79" s="61">
        <v>25</v>
      </c>
      <c r="N79" s="6">
        <f>(67.5-25)*0.7</f>
        <v>29.749999999999996</v>
      </c>
    </row>
    <row r="80" spans="1:16">
      <c r="A80" s="44" t="s">
        <v>152</v>
      </c>
      <c r="B80" s="44"/>
      <c r="C80" s="4">
        <v>44852</v>
      </c>
      <c r="D80" s="4"/>
      <c r="E80" s="4">
        <v>44649</v>
      </c>
      <c r="F80" s="40"/>
      <c r="G80" s="40"/>
      <c r="H80" s="5">
        <v>9.0299999999999994</v>
      </c>
      <c r="I80" s="102">
        <f>45*4+45/30*13</f>
        <v>199.5</v>
      </c>
      <c r="J80" s="5">
        <v>80</v>
      </c>
      <c r="K80" s="5"/>
      <c r="L80" s="6">
        <v>67.5</v>
      </c>
      <c r="M80" s="61">
        <v>45</v>
      </c>
      <c r="N80" s="6">
        <f>(L80-M80)*0.7</f>
        <v>15.749999999999998</v>
      </c>
    </row>
    <row r="81" spans="1:14">
      <c r="A81" s="44" t="s">
        <v>153</v>
      </c>
      <c r="B81" s="44"/>
      <c r="C81" s="4">
        <v>44623</v>
      </c>
      <c r="D81" s="4"/>
      <c r="E81" s="4">
        <v>44623</v>
      </c>
      <c r="F81" s="40"/>
      <c r="G81" s="40"/>
      <c r="H81" s="5">
        <v>11.03</v>
      </c>
      <c r="I81" s="102">
        <v>0</v>
      </c>
      <c r="J81" s="5">
        <v>15</v>
      </c>
      <c r="K81" s="5"/>
      <c r="L81" s="6">
        <v>30</v>
      </c>
      <c r="M81" s="61">
        <v>12</v>
      </c>
      <c r="N81" s="6">
        <f>(L81-M81)*0.7</f>
        <v>12.6</v>
      </c>
    </row>
    <row r="82" spans="1:14">
      <c r="A82" s="44" t="s">
        <v>154</v>
      </c>
      <c r="B82" s="44"/>
      <c r="C82" s="4">
        <v>44881</v>
      </c>
      <c r="D82" s="4"/>
      <c r="E82" s="4">
        <v>44628</v>
      </c>
      <c r="F82" s="40"/>
      <c r="G82" s="40"/>
      <c r="H82" s="5">
        <v>9.0299999999999994</v>
      </c>
      <c r="I82" s="102">
        <f>65*3+65/30*22</f>
        <v>242.66666666666666</v>
      </c>
      <c r="J82" s="5">
        <v>95</v>
      </c>
      <c r="K82" s="5"/>
      <c r="L82" s="6">
        <v>112</v>
      </c>
      <c r="M82" s="61">
        <v>65</v>
      </c>
      <c r="N82" s="6">
        <f>(L82-M82)*0.7</f>
        <v>32.9</v>
      </c>
    </row>
    <row r="83" spans="1:14">
      <c r="A83" s="44" t="s">
        <v>155</v>
      </c>
      <c r="B83" s="44"/>
      <c r="C83" s="4">
        <v>44490</v>
      </c>
      <c r="D83" s="4"/>
      <c r="E83" s="4">
        <v>44648</v>
      </c>
      <c r="F83" s="40"/>
      <c r="G83" s="40"/>
      <c r="H83" s="5">
        <v>13.4</v>
      </c>
      <c r="I83" s="102">
        <f>45*5+45/30*7</f>
        <v>235.5</v>
      </c>
      <c r="J83" s="5">
        <v>80</v>
      </c>
      <c r="K83" s="5"/>
      <c r="L83" s="6">
        <v>67.5</v>
      </c>
      <c r="M83" s="61">
        <v>45</v>
      </c>
      <c r="N83" s="6">
        <f>(L83-M83)*0.7</f>
        <v>15.749999999999998</v>
      </c>
    </row>
    <row r="84" spans="1:14">
      <c r="A84" s="44" t="s">
        <v>156</v>
      </c>
      <c r="B84" s="44"/>
      <c r="C84" s="4">
        <v>44489</v>
      </c>
      <c r="D84" s="4"/>
      <c r="E84" s="4">
        <v>44651</v>
      </c>
      <c r="F84" s="40"/>
      <c r="G84" s="40"/>
      <c r="H84" s="5">
        <v>15.46</v>
      </c>
      <c r="I84" s="102">
        <f>50*5+50/10</f>
        <v>255</v>
      </c>
      <c r="J84" s="5">
        <v>145</v>
      </c>
      <c r="K84" s="5"/>
      <c r="L84" s="6">
        <v>125</v>
      </c>
      <c r="M84" s="61">
        <v>50</v>
      </c>
      <c r="N84" s="6">
        <f>(L84-M84)*0.7</f>
        <v>52.5</v>
      </c>
    </row>
    <row r="85" spans="1:14">
      <c r="A85" s="44" t="s">
        <v>157</v>
      </c>
      <c r="B85" s="44"/>
      <c r="C85" s="4">
        <v>44627</v>
      </c>
      <c r="D85" s="4"/>
      <c r="E85" s="4">
        <v>44627</v>
      </c>
      <c r="F85" s="10" t="s">
        <v>161</v>
      </c>
      <c r="G85" s="12">
        <v>10</v>
      </c>
      <c r="H85" s="5">
        <v>15.46</v>
      </c>
      <c r="I85" s="102">
        <v>0</v>
      </c>
      <c r="J85" s="5">
        <v>0</v>
      </c>
      <c r="K85" s="5"/>
      <c r="L85" s="6">
        <v>100</v>
      </c>
      <c r="M85" s="61">
        <v>44</v>
      </c>
      <c r="N85" s="6">
        <f>10+(46)*0.7</f>
        <v>42.199999999999996</v>
      </c>
    </row>
    <row r="86" spans="1:14">
      <c r="A86" s="44" t="s">
        <v>158</v>
      </c>
      <c r="B86" s="44"/>
      <c r="C86" s="4">
        <v>44627</v>
      </c>
      <c r="D86" s="4"/>
      <c r="E86" s="4">
        <v>44627</v>
      </c>
      <c r="F86" s="10" t="s">
        <v>161</v>
      </c>
      <c r="G86" s="12">
        <v>12.5</v>
      </c>
      <c r="H86" s="5">
        <v>15.46</v>
      </c>
      <c r="I86" s="102">
        <v>0</v>
      </c>
      <c r="J86" s="5">
        <v>0</v>
      </c>
      <c r="K86" s="5"/>
      <c r="L86" s="6">
        <v>125</v>
      </c>
      <c r="M86" s="61">
        <v>55</v>
      </c>
      <c r="N86" s="6">
        <f>12.5+(57.5)*0.7</f>
        <v>52.75</v>
      </c>
    </row>
    <row r="87" spans="1:14">
      <c r="A87" s="44" t="s">
        <v>171</v>
      </c>
      <c r="B87" s="44"/>
      <c r="C87" s="4">
        <v>44648</v>
      </c>
      <c r="D87" s="4"/>
      <c r="E87" s="4">
        <v>44734</v>
      </c>
      <c r="F87" s="40"/>
      <c r="G87" s="5"/>
      <c r="H87" s="5">
        <v>13.72</v>
      </c>
      <c r="I87" s="102">
        <f>56/30*84</f>
        <v>156.80000000000001</v>
      </c>
      <c r="J87" s="5">
        <v>95</v>
      </c>
      <c r="K87" s="5"/>
      <c r="L87" s="6">
        <v>140</v>
      </c>
      <c r="M87" s="61">
        <v>56</v>
      </c>
      <c r="N87" s="6">
        <f>(140-56)*0.7</f>
        <v>58.8</v>
      </c>
    </row>
    <row r="88" spans="1:14">
      <c r="A88" s="44" t="s">
        <v>172</v>
      </c>
      <c r="B88" s="44"/>
      <c r="C88" s="4">
        <v>44705</v>
      </c>
      <c r="D88" s="4"/>
      <c r="E88" s="4">
        <v>44715</v>
      </c>
      <c r="F88" s="40"/>
      <c r="G88" s="5"/>
      <c r="H88" s="5">
        <v>10.039999999999999</v>
      </c>
      <c r="I88" s="102">
        <f>25/30*9</f>
        <v>7.5</v>
      </c>
      <c r="J88" s="5"/>
      <c r="K88" s="5"/>
      <c r="L88" s="6">
        <v>50</v>
      </c>
      <c r="M88" s="61">
        <v>25</v>
      </c>
      <c r="N88" s="6">
        <f>(50-25)*0.7</f>
        <v>17.5</v>
      </c>
    </row>
    <row r="89" spans="1:14">
      <c r="A89" s="44" t="s">
        <v>173</v>
      </c>
      <c r="B89" s="44"/>
      <c r="C89" s="4">
        <v>44704</v>
      </c>
      <c r="D89" s="4"/>
      <c r="E89" s="4">
        <v>44721</v>
      </c>
      <c r="F89" s="10" t="s">
        <v>161</v>
      </c>
      <c r="G89" s="56">
        <v>12.5</v>
      </c>
      <c r="H89" s="5">
        <v>13.72</v>
      </c>
      <c r="I89" s="102">
        <f>37/30*16</f>
        <v>19.733333333333334</v>
      </c>
      <c r="J89" s="5">
        <f>50+45</f>
        <v>95</v>
      </c>
      <c r="K89" s="5"/>
      <c r="L89" s="6">
        <v>110</v>
      </c>
      <c r="M89" s="61">
        <v>37</v>
      </c>
      <c r="N89" s="56">
        <f>12.5+(97.5-37)*0.7</f>
        <v>54.849999999999994</v>
      </c>
    </row>
    <row r="90" spans="1:14">
      <c r="A90" s="44" t="s">
        <v>174</v>
      </c>
      <c r="B90" s="44"/>
      <c r="C90" s="4">
        <v>44715</v>
      </c>
      <c r="D90" s="4"/>
      <c r="E90" s="4">
        <v>44820</v>
      </c>
      <c r="F90" s="10" t="s">
        <v>161</v>
      </c>
      <c r="G90" s="56">
        <v>15</v>
      </c>
      <c r="H90" s="5">
        <v>14.6</v>
      </c>
      <c r="I90" s="102">
        <f>56/30*103</f>
        <v>192.26666666666668</v>
      </c>
      <c r="J90" s="5">
        <v>50</v>
      </c>
      <c r="K90" s="5"/>
      <c r="L90" s="6">
        <f>130</f>
        <v>130</v>
      </c>
      <c r="M90" s="61">
        <v>56</v>
      </c>
      <c r="N90" s="56">
        <f>15+(115-56)*0.7</f>
        <v>56.3</v>
      </c>
    </row>
    <row r="91" spans="1:14">
      <c r="A91" s="44" t="s">
        <v>183</v>
      </c>
      <c r="B91" s="44"/>
      <c r="C91" s="4">
        <v>44749</v>
      </c>
      <c r="D91" s="4">
        <v>44830</v>
      </c>
      <c r="E91" s="4">
        <v>44858</v>
      </c>
      <c r="F91" s="40"/>
      <c r="G91" s="5"/>
      <c r="H91" s="5">
        <v>11.03</v>
      </c>
      <c r="I91" s="102">
        <v>25</v>
      </c>
      <c r="J91" s="5">
        <v>15</v>
      </c>
      <c r="K91" s="5"/>
      <c r="L91" s="6">
        <v>80</v>
      </c>
      <c r="M91" s="61">
        <v>25</v>
      </c>
      <c r="N91" s="6">
        <f>55*0.7</f>
        <v>38.5</v>
      </c>
    </row>
    <row r="92" spans="1:14">
      <c r="A92" s="44" t="s">
        <v>184</v>
      </c>
      <c r="B92" s="44"/>
      <c r="C92" s="4">
        <v>44775</v>
      </c>
      <c r="D92" s="4">
        <v>44810</v>
      </c>
      <c r="E92" s="4">
        <v>44848</v>
      </c>
      <c r="F92" s="40"/>
      <c r="G92" s="5"/>
      <c r="H92" s="5">
        <v>23.38</v>
      </c>
      <c r="I92" s="102">
        <f>100/30*38</f>
        <v>126.66666666666667</v>
      </c>
      <c r="J92" s="5">
        <v>155</v>
      </c>
      <c r="K92" s="5"/>
      <c r="L92" s="6">
        <v>220</v>
      </c>
      <c r="M92" s="61">
        <v>100</v>
      </c>
      <c r="N92" s="6">
        <v>90.75</v>
      </c>
    </row>
    <row r="93" spans="1:14">
      <c r="A93" s="44" t="s">
        <v>185</v>
      </c>
      <c r="B93" s="44"/>
      <c r="C93" s="4">
        <v>44830</v>
      </c>
      <c r="D93" s="4">
        <v>44852</v>
      </c>
      <c r="E93" s="4">
        <v>44858</v>
      </c>
      <c r="F93" s="10" t="s">
        <v>161</v>
      </c>
      <c r="G93" s="12">
        <v>15</v>
      </c>
      <c r="H93" s="5">
        <v>23.38</v>
      </c>
      <c r="I93" s="102">
        <f>54.5/30*6</f>
        <v>10.9</v>
      </c>
      <c r="J93" s="5">
        <v>95</v>
      </c>
      <c r="K93" s="5"/>
      <c r="L93" s="6">
        <v>160</v>
      </c>
      <c r="M93" s="61">
        <v>64.5</v>
      </c>
      <c r="N93" s="6">
        <f>15+(145-64.5)*0.7</f>
        <v>71.349999999999994</v>
      </c>
    </row>
    <row r="94" spans="1:14">
      <c r="A94" s="44" t="s">
        <v>190</v>
      </c>
      <c r="B94" s="44"/>
      <c r="C94" s="4"/>
      <c r="D94" s="4">
        <v>44879</v>
      </c>
      <c r="E94" s="35">
        <v>44887</v>
      </c>
      <c r="F94" s="44" t="s">
        <v>161</v>
      </c>
      <c r="G94" s="56">
        <v>10</v>
      </c>
      <c r="H94" s="5">
        <v>14.6</v>
      </c>
      <c r="I94" s="102">
        <f>34/30*8</f>
        <v>9.0666666666666664</v>
      </c>
      <c r="J94" s="5">
        <v>45</v>
      </c>
      <c r="K94" s="5"/>
      <c r="L94" s="6">
        <v>90</v>
      </c>
      <c r="M94" s="61">
        <v>34</v>
      </c>
      <c r="N94" s="56">
        <f>10+(80-34)*0.7</f>
        <v>42.199999999999996</v>
      </c>
    </row>
    <row r="95" spans="1:14">
      <c r="A95" s="44" t="s">
        <v>193</v>
      </c>
      <c r="B95" s="44"/>
      <c r="C95" s="4">
        <v>44872</v>
      </c>
      <c r="D95" s="4">
        <v>44879</v>
      </c>
      <c r="E95" s="35">
        <v>44882</v>
      </c>
      <c r="F95" s="40"/>
      <c r="G95" s="5"/>
      <c r="H95" s="5">
        <v>10.039999999999999</v>
      </c>
      <c r="I95" s="102">
        <f>25/30*3</f>
        <v>2.5</v>
      </c>
      <c r="J95" s="5"/>
      <c r="K95" s="5"/>
      <c r="L95" s="6">
        <v>40</v>
      </c>
      <c r="M95" s="61">
        <v>25</v>
      </c>
      <c r="N95" s="6">
        <f>(L95-M95)*0.7</f>
        <v>10.5</v>
      </c>
    </row>
    <row r="96" spans="1:14">
      <c r="A96" s="44" t="s">
        <v>213</v>
      </c>
      <c r="B96" s="44"/>
      <c r="C96" s="4">
        <v>44894</v>
      </c>
      <c r="D96" s="4">
        <v>44908</v>
      </c>
      <c r="E96" s="35">
        <v>44944</v>
      </c>
      <c r="F96" s="40" t="s">
        <v>161</v>
      </c>
      <c r="G96" s="5">
        <v>15</v>
      </c>
      <c r="H96" s="5">
        <v>31.72</v>
      </c>
      <c r="I96" s="102">
        <f>50/30*35</f>
        <v>58.333333333333336</v>
      </c>
      <c r="J96" s="5">
        <f>60+50</f>
        <v>110</v>
      </c>
      <c r="K96" s="5"/>
      <c r="L96" s="6">
        <v>130</v>
      </c>
      <c r="M96" s="61">
        <f>19+2+3.5*2+11*2</f>
        <v>50</v>
      </c>
      <c r="N96" s="94">
        <f>15+(L96-M96-15)*0.7</f>
        <v>60.5</v>
      </c>
    </row>
    <row r="97" spans="1:16">
      <c r="A97" s="44" t="s">
        <v>227</v>
      </c>
      <c r="B97" s="44"/>
      <c r="C97" s="4">
        <v>44949</v>
      </c>
      <c r="D97" s="4">
        <v>44953</v>
      </c>
      <c r="E97" s="35">
        <v>44966</v>
      </c>
      <c r="F97" s="40" t="s">
        <v>160</v>
      </c>
      <c r="G97" s="5">
        <v>15</v>
      </c>
      <c r="H97" s="5">
        <v>16.38</v>
      </c>
      <c r="I97" s="102">
        <f>61.5/30*12</f>
        <v>24.599999999999998</v>
      </c>
      <c r="J97" s="5">
        <f>50+60</f>
        <v>110</v>
      </c>
      <c r="K97" s="5"/>
      <c r="L97" s="6">
        <v>160</v>
      </c>
      <c r="M97" s="65">
        <f>32.5+7+22</f>
        <v>61.5</v>
      </c>
      <c r="N97" s="59">
        <f>15+(L97-M97-15)*0.7</f>
        <v>73.449999999999989</v>
      </c>
    </row>
    <row r="98" spans="1:16">
      <c r="A98" s="44" t="s">
        <v>228</v>
      </c>
      <c r="B98" s="44"/>
      <c r="C98" s="4">
        <v>44957</v>
      </c>
      <c r="D98" s="4">
        <v>44957</v>
      </c>
      <c r="E98" s="35">
        <v>44977</v>
      </c>
      <c r="F98" s="40"/>
      <c r="G98" s="5"/>
      <c r="H98" s="5">
        <v>20.61</v>
      </c>
      <c r="I98" s="102">
        <f>66/30*20</f>
        <v>44</v>
      </c>
      <c r="J98" s="5">
        <v>90</v>
      </c>
      <c r="K98" s="5"/>
      <c r="L98" s="6">
        <v>155</v>
      </c>
      <c r="M98" s="65">
        <v>54</v>
      </c>
      <c r="N98" s="59">
        <f>(L98-M98)*0.7</f>
        <v>70.699999999999989</v>
      </c>
    </row>
    <row r="99" spans="1:16">
      <c r="A99" s="44" t="s">
        <v>255</v>
      </c>
      <c r="B99" s="44"/>
      <c r="C99" s="35">
        <v>44691</v>
      </c>
      <c r="D99" s="35">
        <v>44994</v>
      </c>
      <c r="E99" s="4">
        <v>44994</v>
      </c>
      <c r="F99" s="40"/>
      <c r="G99" s="40"/>
      <c r="H99" s="5">
        <v>11.03</v>
      </c>
      <c r="I99" s="102">
        <f>25*14</f>
        <v>350</v>
      </c>
      <c r="J99" s="40">
        <f>30+50</f>
        <v>80</v>
      </c>
      <c r="K99" s="40"/>
      <c r="L99" s="6">
        <v>90</v>
      </c>
      <c r="M99" s="6">
        <v>25</v>
      </c>
      <c r="N99" s="59">
        <v>48.5</v>
      </c>
    </row>
    <row r="100" spans="1:16">
      <c r="A100" s="44" t="s">
        <v>187</v>
      </c>
      <c r="B100" s="44"/>
      <c r="C100" s="35"/>
      <c r="D100" s="35">
        <v>44991</v>
      </c>
      <c r="E100" s="4">
        <v>44991</v>
      </c>
      <c r="F100" s="40"/>
      <c r="G100" s="40"/>
      <c r="H100" s="5">
        <v>13.31</v>
      </c>
      <c r="I100" s="102"/>
      <c r="J100" s="40">
        <v>45</v>
      </c>
      <c r="K100" s="40"/>
      <c r="L100" s="6">
        <v>80</v>
      </c>
      <c r="M100" s="6">
        <v>27</v>
      </c>
      <c r="N100" s="59">
        <f>(L100-M100)*0.7</f>
        <v>37.099999999999994</v>
      </c>
    </row>
    <row r="101" spans="1:16">
      <c r="A101" s="76" t="s">
        <v>276</v>
      </c>
      <c r="B101" s="44"/>
      <c r="C101" s="35">
        <v>45061</v>
      </c>
      <c r="D101" s="35">
        <v>45070</v>
      </c>
      <c r="E101" s="4"/>
      <c r="F101" s="40"/>
      <c r="G101" s="40"/>
      <c r="H101" s="5">
        <v>11.48</v>
      </c>
      <c r="I101" s="102">
        <f>21/30*9</f>
        <v>6.3</v>
      </c>
      <c r="J101" s="40"/>
      <c r="K101" s="40"/>
      <c r="L101" s="17">
        <f>50</f>
        <v>50</v>
      </c>
      <c r="M101" s="18">
        <v>21</v>
      </c>
      <c r="N101" s="70">
        <f>(50-21)*0.7</f>
        <v>20.299999999999997</v>
      </c>
    </row>
    <row r="102" spans="1:16">
      <c r="A102" s="76" t="s">
        <v>279</v>
      </c>
      <c r="B102" s="44"/>
      <c r="C102" s="35">
        <v>45065</v>
      </c>
      <c r="D102" s="35">
        <v>45070</v>
      </c>
      <c r="E102" s="4"/>
      <c r="F102" s="40"/>
      <c r="G102" s="40"/>
      <c r="H102" s="5">
        <v>11.48</v>
      </c>
      <c r="I102" s="102">
        <f>21/30*5</f>
        <v>3.5</v>
      </c>
      <c r="J102" s="40"/>
      <c r="K102" s="40"/>
      <c r="L102" s="17">
        <f>50</f>
        <v>50</v>
      </c>
      <c r="M102" s="18">
        <v>21</v>
      </c>
      <c r="N102" s="70">
        <f>(50-21)*0.7</f>
        <v>20.299999999999997</v>
      </c>
    </row>
    <row r="103" spans="1:16">
      <c r="A103" s="76" t="s">
        <v>278</v>
      </c>
      <c r="B103" s="52"/>
      <c r="C103" s="57">
        <v>44973</v>
      </c>
      <c r="D103" s="57">
        <v>45070</v>
      </c>
      <c r="E103" s="24"/>
      <c r="F103" s="48"/>
      <c r="G103" s="48"/>
      <c r="H103" s="25">
        <v>11.48</v>
      </c>
      <c r="I103" s="103">
        <f>21/30*98</f>
        <v>68.599999999999994</v>
      </c>
      <c r="J103" s="48"/>
      <c r="K103" s="48"/>
      <c r="L103" s="17">
        <v>50</v>
      </c>
      <c r="M103" s="26">
        <v>21</v>
      </c>
      <c r="N103" s="85">
        <f>(50-21)*0.7</f>
        <v>20.299999999999997</v>
      </c>
    </row>
    <row r="104" spans="1:16">
      <c r="A104" s="44" t="s">
        <v>289</v>
      </c>
      <c r="B104" s="44"/>
      <c r="C104" s="35">
        <v>45110</v>
      </c>
      <c r="D104" s="35">
        <v>45127</v>
      </c>
      <c r="E104" s="4">
        <v>45110</v>
      </c>
      <c r="F104" s="40"/>
      <c r="G104" s="40"/>
      <c r="H104" s="5">
        <v>13.31</v>
      </c>
      <c r="I104" s="102">
        <f>27/30*17</f>
        <v>15.3</v>
      </c>
      <c r="J104" s="40">
        <v>45</v>
      </c>
      <c r="K104" s="40"/>
      <c r="L104" s="6">
        <v>75</v>
      </c>
      <c r="M104" s="6">
        <v>27</v>
      </c>
      <c r="N104" s="59">
        <f>(L104-M104)*0.7</f>
        <v>33.599999999999994</v>
      </c>
    </row>
    <row r="105" spans="1:16">
      <c r="A105" s="44" t="s">
        <v>292</v>
      </c>
      <c r="B105" s="44"/>
      <c r="C105" s="35">
        <v>45138</v>
      </c>
      <c r="D105" s="35">
        <v>45139</v>
      </c>
      <c r="E105" s="35">
        <v>45162</v>
      </c>
      <c r="F105" s="40"/>
      <c r="G105" s="40"/>
      <c r="H105" s="5">
        <v>12.48</v>
      </c>
      <c r="I105" s="102">
        <f>27/30*23</f>
        <v>20.7</v>
      </c>
      <c r="J105" s="40">
        <v>45</v>
      </c>
      <c r="K105" s="40"/>
      <c r="L105" s="6">
        <v>90</v>
      </c>
      <c r="M105" s="6">
        <v>27</v>
      </c>
      <c r="N105" s="59">
        <f>(L105-M105)*0.7</f>
        <v>44.099999999999994</v>
      </c>
    </row>
    <row r="106" spans="1:16">
      <c r="A106" s="44" t="s">
        <v>293</v>
      </c>
      <c r="B106" s="44"/>
      <c r="C106" s="35">
        <v>45086</v>
      </c>
      <c r="D106" s="35">
        <v>45089</v>
      </c>
      <c r="E106" s="4">
        <v>45103</v>
      </c>
      <c r="F106" s="40"/>
      <c r="G106" s="40"/>
      <c r="H106" s="5">
        <v>11.03</v>
      </c>
      <c r="I106" s="102">
        <f>21/30*14</f>
        <v>9.7999999999999989</v>
      </c>
      <c r="J106" s="40"/>
      <c r="K106" s="40"/>
      <c r="L106" s="6">
        <v>50</v>
      </c>
      <c r="M106" s="6">
        <v>21</v>
      </c>
      <c r="N106" s="59">
        <f>(L106-M106)*0.7</f>
        <v>20.299999999999997</v>
      </c>
    </row>
    <row r="107" spans="1:16">
      <c r="A107" s="44" t="s">
        <v>295</v>
      </c>
      <c r="B107" s="44"/>
      <c r="C107" s="35">
        <v>45228</v>
      </c>
      <c r="D107" s="35">
        <v>45203</v>
      </c>
      <c r="E107" s="4"/>
      <c r="F107" s="40"/>
      <c r="G107" s="40"/>
      <c r="H107" s="5">
        <v>13.31</v>
      </c>
      <c r="I107" s="102">
        <f>27/30*5</f>
        <v>4.5</v>
      </c>
      <c r="J107" s="40">
        <v>45</v>
      </c>
      <c r="K107" s="40"/>
      <c r="L107" s="6">
        <v>80</v>
      </c>
      <c r="M107" s="6">
        <v>27</v>
      </c>
      <c r="N107" s="59">
        <f>(L107-M107)*0.7</f>
        <v>37.099999999999994</v>
      </c>
    </row>
    <row r="108" spans="1:16">
      <c r="A108" s="44" t="s">
        <v>320</v>
      </c>
      <c r="B108" s="44"/>
      <c r="C108" s="35">
        <v>45177</v>
      </c>
      <c r="D108" s="35">
        <v>45196</v>
      </c>
      <c r="E108" s="4"/>
      <c r="F108" s="40"/>
      <c r="G108" s="40"/>
      <c r="H108" s="5">
        <v>10.44</v>
      </c>
      <c r="I108" s="102">
        <f>38/30*21</f>
        <v>26.599999999999998</v>
      </c>
      <c r="J108" s="40"/>
      <c r="K108" s="40"/>
      <c r="L108" s="6">
        <v>69</v>
      </c>
      <c r="M108" s="6">
        <v>38</v>
      </c>
      <c r="N108" s="59">
        <f>(69-38)*0.7</f>
        <v>21.7</v>
      </c>
    </row>
    <row r="109" spans="1:16">
      <c r="A109" s="44" t="s">
        <v>325</v>
      </c>
      <c r="B109" s="44"/>
      <c r="C109" s="35"/>
      <c r="D109" s="35">
        <v>45223</v>
      </c>
      <c r="E109" s="4">
        <v>45239</v>
      </c>
      <c r="F109" s="40"/>
      <c r="G109" s="40"/>
      <c r="H109" s="5">
        <v>40</v>
      </c>
      <c r="I109" s="102">
        <f>43/30*15</f>
        <v>21.5</v>
      </c>
      <c r="J109" s="40"/>
      <c r="K109" s="40"/>
      <c r="L109" s="6">
        <v>69</v>
      </c>
      <c r="M109" s="6">
        <v>43</v>
      </c>
      <c r="N109" s="94">
        <f>(69-43)*0.7</f>
        <v>18.2</v>
      </c>
      <c r="O109" s="72" t="s">
        <v>329</v>
      </c>
      <c r="P109" s="72">
        <v>12.74</v>
      </c>
    </row>
    <row r="110" spans="1:16">
      <c r="A110" s="44" t="s">
        <v>326</v>
      </c>
      <c r="B110" s="44"/>
      <c r="C110" s="35"/>
      <c r="D110" s="35">
        <v>45188</v>
      </c>
      <c r="E110" s="4">
        <v>45209</v>
      </c>
      <c r="F110" s="40"/>
      <c r="G110" s="40"/>
      <c r="H110" s="5">
        <v>11.48</v>
      </c>
      <c r="I110" s="102"/>
      <c r="J110" s="40"/>
      <c r="K110" s="40"/>
      <c r="L110" s="6">
        <v>59</v>
      </c>
      <c r="M110" s="6">
        <v>38</v>
      </c>
      <c r="N110" s="59">
        <f>(L110-M110)*0.7</f>
        <v>14.7</v>
      </c>
    </row>
    <row r="111" spans="1:16">
      <c r="A111" s="44" t="s">
        <v>108</v>
      </c>
      <c r="B111" s="44"/>
      <c r="C111" s="35"/>
      <c r="D111" s="35">
        <v>45231</v>
      </c>
      <c r="E111" s="4">
        <v>45231</v>
      </c>
      <c r="F111" s="40"/>
      <c r="G111" s="40"/>
      <c r="H111" s="5"/>
      <c r="I111" s="102"/>
      <c r="J111" s="40"/>
      <c r="K111" s="40"/>
      <c r="L111" s="6">
        <v>69</v>
      </c>
      <c r="M111" s="6">
        <v>43</v>
      </c>
      <c r="N111" s="59">
        <f>(L111-M111)*0.7</f>
        <v>18.2</v>
      </c>
    </row>
    <row r="112" spans="1:16">
      <c r="A112" s="44" t="s">
        <v>327</v>
      </c>
      <c r="B112" s="44"/>
      <c r="C112" s="35"/>
      <c r="D112" s="35"/>
      <c r="E112" s="4">
        <v>45127</v>
      </c>
      <c r="F112" s="40"/>
      <c r="G112" s="40"/>
      <c r="H112" s="5">
        <v>11.48</v>
      </c>
      <c r="I112" s="102"/>
      <c r="J112" s="40"/>
      <c r="K112" s="40"/>
      <c r="L112" s="6">
        <v>25</v>
      </c>
      <c r="M112" s="6">
        <v>9</v>
      </c>
      <c r="N112" s="59">
        <f>(L112-M112)*0.7</f>
        <v>11.2</v>
      </c>
    </row>
    <row r="113" spans="1:15">
      <c r="A113" s="44" t="s">
        <v>336</v>
      </c>
      <c r="B113" s="44"/>
      <c r="C113" s="35"/>
      <c r="D113" s="35">
        <v>45278</v>
      </c>
      <c r="E113" s="4">
        <v>45278</v>
      </c>
      <c r="F113" s="40"/>
      <c r="G113" s="40"/>
      <c r="H113" s="5"/>
      <c r="I113" s="102"/>
      <c r="J113" s="40"/>
      <c r="K113" s="40"/>
      <c r="L113" s="6">
        <v>69</v>
      </c>
      <c r="M113" s="6">
        <v>43</v>
      </c>
      <c r="N113" s="59">
        <f>(69-43)*0.7/30*42</f>
        <v>25.48</v>
      </c>
    </row>
    <row r="114" spans="1:15">
      <c r="A114" s="44" t="s">
        <v>337</v>
      </c>
      <c r="B114" s="44"/>
      <c r="C114" s="35">
        <v>45342</v>
      </c>
      <c r="D114" s="35">
        <v>44977</v>
      </c>
      <c r="E114" s="4">
        <v>45342</v>
      </c>
      <c r="F114" s="40"/>
      <c r="G114" s="40"/>
      <c r="H114" s="5">
        <v>13.78</v>
      </c>
      <c r="I114" s="102"/>
      <c r="J114" s="40">
        <f>45+50</f>
        <v>95</v>
      </c>
      <c r="K114" s="40"/>
      <c r="L114" s="6">
        <v>100</v>
      </c>
      <c r="M114" s="6">
        <v>38.5</v>
      </c>
      <c r="N114" s="59">
        <f t="shared" ref="N114:N120" si="2">(L114-M114)*0.7</f>
        <v>43.05</v>
      </c>
    </row>
    <row r="115" spans="1:15">
      <c r="A115" s="44" t="s">
        <v>338</v>
      </c>
      <c r="B115" s="44"/>
      <c r="C115" s="35">
        <v>45271</v>
      </c>
      <c r="D115" s="35"/>
      <c r="E115" s="4">
        <v>45301</v>
      </c>
      <c r="F115" s="40"/>
      <c r="G115" s="40"/>
      <c r="H115" s="5">
        <v>14.26</v>
      </c>
      <c r="I115" s="102">
        <f>25/30*29</f>
        <v>24.166666666666668</v>
      </c>
      <c r="J115" s="40">
        <f>30+50</f>
        <v>80</v>
      </c>
      <c r="K115" s="40"/>
      <c r="L115" s="6">
        <v>80</v>
      </c>
      <c r="M115" s="6">
        <v>29</v>
      </c>
      <c r="N115" s="59">
        <f t="shared" si="2"/>
        <v>35.699999999999996</v>
      </c>
      <c r="O115" t="s">
        <v>339</v>
      </c>
    </row>
    <row r="116" spans="1:15">
      <c r="A116" s="44" t="s">
        <v>333</v>
      </c>
      <c r="B116" s="44"/>
      <c r="C116" s="35"/>
      <c r="D116" s="35"/>
      <c r="E116" s="4">
        <v>45336</v>
      </c>
      <c r="F116" s="40"/>
      <c r="G116" s="40"/>
      <c r="H116" s="5">
        <v>10</v>
      </c>
      <c r="I116" s="102">
        <v>0</v>
      </c>
      <c r="J116" s="40">
        <v>120</v>
      </c>
      <c r="K116" s="40"/>
      <c r="L116" s="6">
        <v>160</v>
      </c>
      <c r="M116" s="6">
        <v>72</v>
      </c>
      <c r="N116" s="59">
        <f t="shared" si="2"/>
        <v>61.599999999999994</v>
      </c>
    </row>
    <row r="117" spans="1:15">
      <c r="A117" s="44" t="s">
        <v>343</v>
      </c>
      <c r="B117" s="44"/>
      <c r="C117" s="35"/>
      <c r="D117" s="35"/>
      <c r="E117" s="4">
        <v>45336</v>
      </c>
      <c r="F117" s="40"/>
      <c r="G117" s="40"/>
      <c r="H117" s="5">
        <v>10.92</v>
      </c>
      <c r="I117" s="102"/>
      <c r="J117" s="40"/>
      <c r="K117" s="40"/>
      <c r="L117" s="6">
        <v>59</v>
      </c>
      <c r="M117" s="6">
        <v>38</v>
      </c>
      <c r="N117" s="59">
        <f t="shared" si="2"/>
        <v>14.7</v>
      </c>
    </row>
    <row r="118" spans="1:15">
      <c r="A118" s="44" t="s">
        <v>344</v>
      </c>
      <c r="B118" s="44"/>
      <c r="C118" s="35"/>
      <c r="D118" s="35">
        <v>45323</v>
      </c>
      <c r="E118" s="4">
        <v>45323</v>
      </c>
      <c r="F118" s="40"/>
      <c r="G118" s="40"/>
      <c r="H118" s="5">
        <v>10.92</v>
      </c>
      <c r="I118" s="102"/>
      <c r="J118" s="40"/>
      <c r="K118" s="40"/>
      <c r="L118" s="6">
        <v>40</v>
      </c>
      <c r="M118" s="6">
        <v>32.5</v>
      </c>
      <c r="N118" s="59">
        <f t="shared" si="2"/>
        <v>5.25</v>
      </c>
    </row>
    <row r="119" spans="1:15">
      <c r="A119" s="44" t="s">
        <v>345</v>
      </c>
      <c r="B119" s="44"/>
      <c r="C119" s="35"/>
      <c r="D119" s="35"/>
      <c r="E119" s="4">
        <v>45345</v>
      </c>
      <c r="F119" s="40"/>
      <c r="G119" s="40"/>
      <c r="H119" s="5">
        <v>24.2</v>
      </c>
      <c r="I119" s="102"/>
      <c r="J119" s="40">
        <v>45</v>
      </c>
      <c r="K119" s="40"/>
      <c r="L119" s="6">
        <v>90</v>
      </c>
      <c r="M119" s="6">
        <f>7+9</f>
        <v>16</v>
      </c>
      <c r="N119" s="59">
        <f t="shared" si="2"/>
        <v>51.8</v>
      </c>
    </row>
    <row r="120" spans="1:15">
      <c r="A120" s="44" t="s">
        <v>346</v>
      </c>
      <c r="B120" s="44"/>
      <c r="C120" s="35"/>
      <c r="D120" s="35"/>
      <c r="E120" s="4">
        <v>45334</v>
      </c>
      <c r="F120" s="40"/>
      <c r="G120" s="40"/>
      <c r="H120" s="5">
        <v>12.01</v>
      </c>
      <c r="I120" s="102"/>
      <c r="J120" s="40">
        <v>15</v>
      </c>
      <c r="K120" s="40"/>
      <c r="L120" s="6">
        <v>20</v>
      </c>
      <c r="M120" s="6">
        <v>9</v>
      </c>
      <c r="N120" s="70">
        <f t="shared" si="2"/>
        <v>7.6999999999999993</v>
      </c>
    </row>
    <row r="121" spans="1:15">
      <c r="A121" s="44" t="s">
        <v>361</v>
      </c>
      <c r="B121" s="44"/>
      <c r="C121" s="35"/>
      <c r="D121" s="35">
        <v>45366</v>
      </c>
      <c r="E121" s="4">
        <v>45385</v>
      </c>
      <c r="F121" s="40"/>
      <c r="G121" s="40"/>
      <c r="H121" s="5"/>
      <c r="I121" s="102">
        <f>69/30*18</f>
        <v>41.4</v>
      </c>
      <c r="J121" s="40"/>
      <c r="K121" s="40"/>
      <c r="L121" s="6">
        <v>69</v>
      </c>
      <c r="M121" s="6">
        <v>43</v>
      </c>
      <c r="N121" s="70">
        <f t="shared" ref="N121:N129" si="3">(L121-M121)*0.7</f>
        <v>18.2</v>
      </c>
    </row>
    <row r="122" spans="1:15">
      <c r="A122" s="44" t="s">
        <v>365</v>
      </c>
      <c r="B122" s="44"/>
      <c r="C122" s="35"/>
      <c r="D122" s="35">
        <v>45450</v>
      </c>
      <c r="E122" s="4">
        <v>45456</v>
      </c>
      <c r="F122" s="40"/>
      <c r="G122" s="40"/>
      <c r="H122" s="5"/>
      <c r="I122" s="102">
        <f>47/30*5</f>
        <v>7.833333333333333</v>
      </c>
      <c r="J122" s="40"/>
      <c r="K122" s="40"/>
      <c r="L122" s="6">
        <v>69</v>
      </c>
      <c r="M122" s="6">
        <v>47</v>
      </c>
      <c r="N122" s="59">
        <f t="shared" si="3"/>
        <v>15.399999999999999</v>
      </c>
    </row>
    <row r="123" spans="1:15">
      <c r="A123" s="44" t="s">
        <v>358</v>
      </c>
      <c r="B123" s="44"/>
      <c r="C123" s="35"/>
      <c r="D123" s="35">
        <v>45468</v>
      </c>
      <c r="E123" s="4">
        <v>45468</v>
      </c>
      <c r="F123" s="40"/>
      <c r="G123" s="40"/>
      <c r="H123" s="5">
        <v>12.01</v>
      </c>
      <c r="I123" s="102"/>
      <c r="J123" s="40"/>
      <c r="K123" s="40"/>
      <c r="L123" s="6">
        <v>59</v>
      </c>
      <c r="M123" s="6">
        <v>38</v>
      </c>
      <c r="N123" s="59">
        <f t="shared" si="3"/>
        <v>14.7</v>
      </c>
    </row>
    <row r="124" spans="1:15">
      <c r="A124" s="44" t="s">
        <v>218</v>
      </c>
      <c r="B124" s="44"/>
      <c r="C124" s="35"/>
      <c r="D124" s="35">
        <v>45456</v>
      </c>
      <c r="E124" s="4">
        <v>45456</v>
      </c>
      <c r="F124" s="40"/>
      <c r="G124" s="40"/>
      <c r="H124" s="5">
        <v>10</v>
      </c>
      <c r="I124" s="102"/>
      <c r="J124" s="40">
        <v>45</v>
      </c>
      <c r="K124" s="40"/>
      <c r="L124" s="6">
        <v>80</v>
      </c>
      <c r="M124" s="6">
        <v>27</v>
      </c>
      <c r="N124" s="59">
        <f t="shared" si="3"/>
        <v>37.099999999999994</v>
      </c>
    </row>
    <row r="125" spans="1:15">
      <c r="A125" s="44" t="s">
        <v>366</v>
      </c>
      <c r="B125" s="44"/>
      <c r="C125" s="35"/>
      <c r="D125" s="35">
        <v>45454</v>
      </c>
      <c r="E125" s="4"/>
      <c r="F125" s="40"/>
      <c r="G125" s="40"/>
      <c r="H125" s="5"/>
      <c r="I125" s="102"/>
      <c r="J125" s="40"/>
      <c r="K125" s="40"/>
      <c r="L125" s="6">
        <v>59</v>
      </c>
      <c r="M125" s="6">
        <v>38</v>
      </c>
      <c r="N125" s="59">
        <f t="shared" si="3"/>
        <v>14.7</v>
      </c>
    </row>
    <row r="126" spans="1:15">
      <c r="A126" s="44" t="s">
        <v>64</v>
      </c>
      <c r="B126" s="44"/>
      <c r="C126" s="35"/>
      <c r="D126" s="35">
        <v>45469</v>
      </c>
      <c r="E126" s="4">
        <v>45469</v>
      </c>
      <c r="F126" s="40"/>
      <c r="G126" s="40"/>
      <c r="H126" s="5"/>
      <c r="I126" s="102"/>
      <c r="J126" s="40"/>
      <c r="K126" s="40"/>
      <c r="L126" s="6">
        <v>100</v>
      </c>
      <c r="M126" s="18">
        <v>5</v>
      </c>
      <c r="N126" s="59">
        <f t="shared" si="3"/>
        <v>66.5</v>
      </c>
    </row>
    <row r="127" spans="1:15">
      <c r="A127" s="44" t="s">
        <v>369</v>
      </c>
      <c r="B127" s="44"/>
      <c r="C127" s="35"/>
      <c r="D127" s="35">
        <v>45464</v>
      </c>
      <c r="E127" s="4">
        <v>41811</v>
      </c>
      <c r="F127" s="40"/>
      <c r="G127" s="40"/>
      <c r="H127" s="5">
        <v>24.98</v>
      </c>
      <c r="I127" s="102"/>
      <c r="J127" s="40">
        <v>15</v>
      </c>
      <c r="K127" s="40"/>
      <c r="L127" s="6">
        <v>80</v>
      </c>
      <c r="M127" s="6">
        <v>42.5</v>
      </c>
      <c r="N127" s="59">
        <f t="shared" si="3"/>
        <v>26.25</v>
      </c>
    </row>
    <row r="128" spans="1:15">
      <c r="A128" s="44" t="s">
        <v>370</v>
      </c>
      <c r="B128" s="44"/>
      <c r="C128" s="35"/>
      <c r="D128" s="35">
        <v>45444</v>
      </c>
      <c r="E128" s="4">
        <v>41791</v>
      </c>
      <c r="F128" s="40"/>
      <c r="G128" s="40"/>
      <c r="H128" s="5">
        <v>12.98</v>
      </c>
      <c r="I128" s="102"/>
      <c r="J128" s="40">
        <v>30</v>
      </c>
      <c r="K128" s="40"/>
      <c r="L128" s="6">
        <v>65</v>
      </c>
      <c r="M128" s="6">
        <v>18</v>
      </c>
      <c r="N128" s="59">
        <f t="shared" si="3"/>
        <v>32.9</v>
      </c>
    </row>
    <row r="129" spans="1:16">
      <c r="A129" s="10" t="s">
        <v>375</v>
      </c>
      <c r="B129" s="44"/>
      <c r="C129" s="35"/>
      <c r="D129" s="35">
        <v>45471</v>
      </c>
      <c r="E129" s="35">
        <v>45471</v>
      </c>
      <c r="F129" s="40"/>
      <c r="G129" s="40"/>
      <c r="H129" s="5">
        <f>10+12.01</f>
        <v>22.009999999999998</v>
      </c>
      <c r="I129" s="102"/>
      <c r="J129" s="40">
        <v>30</v>
      </c>
      <c r="K129" s="40"/>
      <c r="L129" s="6">
        <v>90</v>
      </c>
      <c r="M129" s="18">
        <f>38.5+1+18</f>
        <v>57.5</v>
      </c>
      <c r="N129" s="70">
        <f t="shared" si="3"/>
        <v>22.75</v>
      </c>
    </row>
    <row r="130" spans="1:16">
      <c r="A130" s="10" t="s">
        <v>83</v>
      </c>
      <c r="B130" s="44"/>
      <c r="C130" s="35"/>
      <c r="D130" s="35">
        <v>45482</v>
      </c>
      <c r="E130" s="35">
        <v>45482</v>
      </c>
      <c r="F130" s="40"/>
      <c r="G130" s="40"/>
      <c r="H130" s="5"/>
      <c r="I130" s="102"/>
      <c r="J130" s="40"/>
      <c r="K130" s="40"/>
      <c r="L130" s="6">
        <v>69</v>
      </c>
      <c r="M130" s="18">
        <v>43</v>
      </c>
      <c r="N130" s="70">
        <f>(L130-M130)*0.7/30*22</f>
        <v>13.346666666666668</v>
      </c>
    </row>
    <row r="131" spans="1:16">
      <c r="A131" s="10" t="s">
        <v>376</v>
      </c>
      <c r="B131" s="44"/>
      <c r="C131" s="35"/>
      <c r="D131" s="35">
        <v>45434</v>
      </c>
      <c r="E131" s="35">
        <v>45481</v>
      </c>
      <c r="F131" s="40"/>
      <c r="G131" s="40"/>
      <c r="H131" s="5">
        <f>43/30*46/2</f>
        <v>32.966666666666669</v>
      </c>
      <c r="I131" s="102"/>
      <c r="J131" s="40"/>
      <c r="K131" s="40"/>
      <c r="L131" s="6">
        <v>69</v>
      </c>
      <c r="M131" s="18">
        <v>43</v>
      </c>
      <c r="N131" s="70">
        <f>(L131-M131)*0.7/30*21</f>
        <v>12.74</v>
      </c>
    </row>
    <row r="132" spans="1:16">
      <c r="C132" s="36"/>
      <c r="D132" s="36"/>
      <c r="F132" s="28"/>
      <c r="G132" s="28"/>
      <c r="H132" s="30" t="s">
        <v>377</v>
      </c>
      <c r="I132" s="104"/>
      <c r="M132" s="62" t="s">
        <v>4</v>
      </c>
      <c r="N132" s="18">
        <f>SUM(N2:N131)</f>
        <v>4646.616666666665</v>
      </c>
    </row>
    <row r="133" spans="1:16">
      <c r="C133" s="36"/>
      <c r="D133" s="36"/>
      <c r="F133" s="28"/>
      <c r="G133" s="28"/>
      <c r="H133" s="30"/>
      <c r="I133" s="104"/>
      <c r="M133" s="61" t="s">
        <v>251</v>
      </c>
      <c r="N133" s="6">
        <f>N132-84.98</f>
        <v>4561.6366666666654</v>
      </c>
    </row>
    <row r="134" spans="1:16">
      <c r="C134" s="36"/>
      <c r="D134" s="36"/>
      <c r="F134" s="28"/>
      <c r="G134" s="28"/>
      <c r="H134" s="30"/>
      <c r="I134" s="104"/>
    </row>
    <row r="136" spans="1:16">
      <c r="A136" s="28"/>
      <c r="B136" s="28"/>
      <c r="E136" s="15"/>
      <c r="F136" s="1"/>
      <c r="G136" s="1"/>
      <c r="H136" s="1"/>
      <c r="J136" s="1"/>
      <c r="K136" s="1"/>
      <c r="L136" s="1"/>
      <c r="M136" s="1"/>
      <c r="N136" s="29"/>
    </row>
    <row r="137" spans="1:16">
      <c r="L137" s="1"/>
      <c r="M137" s="1"/>
    </row>
    <row r="138" spans="1:16">
      <c r="H138" s="30"/>
      <c r="L138" s="1"/>
      <c r="M138"/>
    </row>
    <row r="139" spans="1:16">
      <c r="M139"/>
      <c r="P139" s="42"/>
    </row>
    <row r="140" spans="1:16">
      <c r="L140" s="1" t="s">
        <v>372</v>
      </c>
    </row>
    <row r="141" spans="1:16">
      <c r="L141" s="1"/>
      <c r="P141" s="42"/>
    </row>
    <row r="142" spans="1:16">
      <c r="L142" s="1"/>
    </row>
    <row r="143" spans="1:16">
      <c r="P143" s="42"/>
    </row>
  </sheetData>
  <autoFilter ref="A1:P133">
    <sortState ref="A2:P98">
      <sortCondition ref="B1:B98"/>
    </sortState>
  </autoFilter>
  <pageMargins left="0.7" right="0.7" top="0.75" bottom="0.75" header="0.3" footer="0.3"/>
  <pageSetup paperSize="9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>
  <dimension ref="A1:P146"/>
  <sheetViews>
    <sheetView topLeftCell="B134" workbookViewId="0">
      <selection activeCell="G149" sqref="G149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2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44</v>
      </c>
      <c r="B19" s="2"/>
      <c r="C19" s="4">
        <v>43196</v>
      </c>
      <c r="D19" s="4"/>
      <c r="E19" s="4">
        <v>43250</v>
      </c>
      <c r="F19" s="5"/>
      <c r="G19" s="49"/>
      <c r="H19" s="5">
        <v>13.78</v>
      </c>
      <c r="I19" s="102">
        <f>25*24/30+25</f>
        <v>45</v>
      </c>
      <c r="J19" s="5"/>
      <c r="K19" s="5"/>
      <c r="L19" s="6">
        <v>11</v>
      </c>
      <c r="M19" s="61">
        <v>25</v>
      </c>
      <c r="N19" s="6">
        <v>9.7999999999999989</v>
      </c>
    </row>
    <row r="20" spans="1:15">
      <c r="A20" s="22" t="s">
        <v>47</v>
      </c>
      <c r="B20" s="22"/>
      <c r="C20" s="4">
        <v>43355</v>
      </c>
      <c r="D20" s="4"/>
      <c r="E20" s="4">
        <v>43277</v>
      </c>
      <c r="F20" s="5"/>
      <c r="G20" s="49"/>
      <c r="H20" s="5">
        <v>19.98</v>
      </c>
      <c r="I20" s="102">
        <f>36*2+36/30*16</f>
        <v>91.2</v>
      </c>
      <c r="J20" s="5"/>
      <c r="K20" s="5"/>
      <c r="L20" s="6">
        <v>105</v>
      </c>
      <c r="M20" s="61">
        <v>36</v>
      </c>
      <c r="N20" s="6">
        <f t="shared" si="0"/>
        <v>48.3</v>
      </c>
    </row>
    <row r="21" spans="1:15">
      <c r="A21" s="22" t="s">
        <v>48</v>
      </c>
      <c r="B21" s="22"/>
      <c r="C21" s="4">
        <v>43367</v>
      </c>
      <c r="D21" s="4"/>
      <c r="E21" s="4">
        <v>43284</v>
      </c>
      <c r="F21" s="5"/>
      <c r="G21" s="49"/>
      <c r="H21" s="5">
        <v>9.1</v>
      </c>
      <c r="I21" s="102">
        <f>25+25/30*27</f>
        <v>47.5</v>
      </c>
      <c r="J21" s="5"/>
      <c r="K21" s="5"/>
      <c r="L21" s="6">
        <v>75</v>
      </c>
      <c r="M21" s="61">
        <v>25</v>
      </c>
      <c r="N21" s="6">
        <f t="shared" si="0"/>
        <v>35</v>
      </c>
    </row>
    <row r="22" spans="1:15">
      <c r="A22" s="2" t="s">
        <v>45</v>
      </c>
      <c r="B22" s="2"/>
      <c r="C22" s="4"/>
      <c r="D22" s="4"/>
      <c r="E22" s="4">
        <v>43286</v>
      </c>
      <c r="F22" s="5"/>
      <c r="G22" s="49"/>
      <c r="H22" s="5">
        <v>11.56</v>
      </c>
      <c r="I22" s="102"/>
      <c r="J22" s="5"/>
      <c r="K22" s="5"/>
      <c r="L22" s="6">
        <v>150</v>
      </c>
      <c r="M22" s="61">
        <v>76</v>
      </c>
      <c r="N22" s="6">
        <f t="shared" si="0"/>
        <v>51.8</v>
      </c>
      <c r="O22" s="20"/>
    </row>
    <row r="23" spans="1:15">
      <c r="A23" s="22" t="s">
        <v>49</v>
      </c>
      <c r="B23" s="22"/>
      <c r="C23" s="4">
        <v>43367</v>
      </c>
      <c r="D23" s="4"/>
      <c r="E23" s="4">
        <v>43291</v>
      </c>
      <c r="F23" s="5"/>
      <c r="G23" s="49"/>
      <c r="H23" s="5">
        <v>10.039999999999999</v>
      </c>
      <c r="I23" s="102">
        <f>50+25/30*14</f>
        <v>61.666666666666671</v>
      </c>
      <c r="J23" s="5"/>
      <c r="K23" s="5"/>
      <c r="L23" s="6">
        <v>50</v>
      </c>
      <c r="M23" s="61">
        <v>22</v>
      </c>
      <c r="N23" s="18">
        <f t="shared" si="0"/>
        <v>19.599999999999998</v>
      </c>
    </row>
    <row r="24" spans="1:15">
      <c r="A24" s="22" t="s">
        <v>51</v>
      </c>
      <c r="B24" s="22"/>
      <c r="C24" s="4">
        <v>43358</v>
      </c>
      <c r="D24" s="4"/>
      <c r="E24" s="4">
        <v>43291</v>
      </c>
      <c r="F24" s="5"/>
      <c r="G24" s="49"/>
      <c r="H24" s="5">
        <v>10.039999999999999</v>
      </c>
      <c r="I24" s="102">
        <f>50+25/30*5</f>
        <v>54.166666666666664</v>
      </c>
      <c r="J24" s="5"/>
      <c r="K24" s="5"/>
      <c r="L24" s="6">
        <v>75</v>
      </c>
      <c r="M24" s="61">
        <v>25</v>
      </c>
      <c r="N24" s="6">
        <f t="shared" si="0"/>
        <v>35</v>
      </c>
    </row>
    <row r="25" spans="1:15">
      <c r="A25" s="22" t="s">
        <v>52</v>
      </c>
      <c r="B25" s="22"/>
      <c r="C25" s="4">
        <v>43367</v>
      </c>
      <c r="D25" s="4"/>
      <c r="E25" s="4">
        <v>43308</v>
      </c>
      <c r="F25" s="5"/>
      <c r="G25" s="49"/>
      <c r="H25" s="5">
        <v>10.86</v>
      </c>
      <c r="I25" s="102">
        <f>25+25/30*27</f>
        <v>47.5</v>
      </c>
      <c r="J25" s="5"/>
      <c r="K25" s="5"/>
      <c r="L25" s="6">
        <v>75</v>
      </c>
      <c r="M25" s="61">
        <v>25</v>
      </c>
      <c r="N25" s="27">
        <f t="shared" si="0"/>
        <v>35</v>
      </c>
    </row>
    <row r="26" spans="1:15">
      <c r="A26" s="22" t="s">
        <v>50</v>
      </c>
      <c r="B26" s="22"/>
      <c r="C26" s="4">
        <v>43367</v>
      </c>
      <c r="D26" s="4"/>
      <c r="E26" s="4">
        <v>43312</v>
      </c>
      <c r="F26" s="5"/>
      <c r="G26" s="49"/>
      <c r="H26" s="5">
        <v>10.86</v>
      </c>
      <c r="I26" s="102">
        <f>25+25/30*24</f>
        <v>45</v>
      </c>
      <c r="J26" s="5"/>
      <c r="K26" s="5"/>
      <c r="L26" s="6">
        <v>70</v>
      </c>
      <c r="M26" s="61">
        <v>25</v>
      </c>
      <c r="N26" s="6">
        <f t="shared" si="0"/>
        <v>31.499999999999996</v>
      </c>
    </row>
    <row r="27" spans="1:15">
      <c r="A27" s="22" t="s">
        <v>55</v>
      </c>
      <c r="B27" s="22"/>
      <c r="C27" s="4">
        <v>43363</v>
      </c>
      <c r="D27" s="4"/>
      <c r="E27" s="4">
        <v>43440</v>
      </c>
      <c r="F27" s="5"/>
      <c r="G27" s="49"/>
      <c r="H27" s="5">
        <v>14.11</v>
      </c>
      <c r="I27" s="102">
        <f>25*2+25*16/30</f>
        <v>63.333333333333336</v>
      </c>
      <c r="J27" s="5"/>
      <c r="K27" s="5"/>
      <c r="L27" s="6">
        <v>75</v>
      </c>
      <c r="M27" s="61">
        <v>25</v>
      </c>
      <c r="N27" s="6">
        <f t="shared" si="0"/>
        <v>35</v>
      </c>
    </row>
    <row r="28" spans="1:15">
      <c r="A28" s="22" t="s">
        <v>54</v>
      </c>
      <c r="B28" s="22"/>
      <c r="C28" s="4">
        <v>43167</v>
      </c>
      <c r="D28" s="4"/>
      <c r="E28" s="4">
        <v>43455</v>
      </c>
      <c r="F28" s="5"/>
      <c r="G28" s="49"/>
      <c r="H28" s="5">
        <v>10.86</v>
      </c>
      <c r="I28" s="102">
        <f>9*25+25*13/30</f>
        <v>235.83333333333334</v>
      </c>
      <c r="J28" s="5"/>
      <c r="K28" s="5"/>
      <c r="L28" s="6">
        <v>90</v>
      </c>
      <c r="M28" s="61">
        <v>36</v>
      </c>
      <c r="N28" s="6">
        <f t="shared" si="0"/>
        <v>37.799999999999997</v>
      </c>
    </row>
    <row r="29" spans="1:15">
      <c r="A29" s="22" t="s">
        <v>57</v>
      </c>
      <c r="B29" s="55"/>
      <c r="C29" s="31">
        <v>43478</v>
      </c>
      <c r="D29" s="31"/>
      <c r="E29" s="4">
        <v>43536</v>
      </c>
      <c r="F29" s="5"/>
      <c r="G29" s="49"/>
      <c r="H29" s="5">
        <v>10.86</v>
      </c>
      <c r="I29" s="102">
        <v>25</v>
      </c>
      <c r="J29" s="5"/>
      <c r="K29" s="5"/>
      <c r="L29" s="6">
        <v>70</v>
      </c>
      <c r="M29" s="61">
        <v>25</v>
      </c>
      <c r="N29" s="6">
        <f t="shared" si="0"/>
        <v>31.499999999999996</v>
      </c>
    </row>
    <row r="30" spans="1:15">
      <c r="A30" s="22" t="s">
        <v>59</v>
      </c>
      <c r="B30" s="22"/>
      <c r="C30" s="4">
        <v>43528</v>
      </c>
      <c r="D30" s="4"/>
      <c r="E30" s="4">
        <v>43538</v>
      </c>
      <c r="F30" s="5"/>
      <c r="G30" s="49"/>
      <c r="H30" s="5">
        <v>14.92</v>
      </c>
      <c r="I30" s="102">
        <f>77/30*10</f>
        <v>25.666666666666668</v>
      </c>
      <c r="J30" s="5"/>
      <c r="K30" s="5"/>
      <c r="L30" s="6">
        <v>169</v>
      </c>
      <c r="M30" s="61">
        <f>64+11+2</f>
        <v>77</v>
      </c>
      <c r="N30" s="6">
        <f t="shared" si="0"/>
        <v>64.399999999999991</v>
      </c>
    </row>
    <row r="31" spans="1:15">
      <c r="A31" s="22" t="s">
        <v>58</v>
      </c>
      <c r="B31" s="22"/>
      <c r="C31" s="4">
        <v>43534</v>
      </c>
      <c r="D31" s="4"/>
      <c r="E31" s="4">
        <v>43542</v>
      </c>
      <c r="F31" s="5"/>
      <c r="G31" s="49"/>
      <c r="H31" s="5">
        <f>10.86*2</f>
        <v>21.72</v>
      </c>
      <c r="I31" s="102">
        <v>0</v>
      </c>
      <c r="J31" s="5"/>
      <c r="K31" s="5"/>
      <c r="L31" s="6">
        <v>60</v>
      </c>
      <c r="M31" s="61">
        <v>33</v>
      </c>
      <c r="N31" s="6">
        <v>18.899999999999999</v>
      </c>
    </row>
    <row r="32" spans="1:15">
      <c r="A32" s="22" t="s">
        <v>61</v>
      </c>
      <c r="B32" s="22"/>
      <c r="C32" s="4">
        <v>43482</v>
      </c>
      <c r="D32" s="4"/>
      <c r="E32" s="4">
        <v>43542</v>
      </c>
      <c r="F32" s="5"/>
      <c r="G32" s="49"/>
      <c r="H32" s="5">
        <v>11.1</v>
      </c>
      <c r="I32" s="102">
        <f>25*2</f>
        <v>50</v>
      </c>
      <c r="J32" s="5"/>
      <c r="K32" s="5"/>
      <c r="L32" s="6">
        <v>70</v>
      </c>
      <c r="M32" s="61">
        <v>26</v>
      </c>
      <c r="N32" s="6">
        <f t="shared" si="0"/>
        <v>30.799999999999997</v>
      </c>
    </row>
    <row r="33" spans="1:16">
      <c r="A33" s="22" t="s">
        <v>67</v>
      </c>
      <c r="B33" s="22"/>
      <c r="C33" s="4">
        <v>43600</v>
      </c>
      <c r="D33" s="4"/>
      <c r="E33" s="4">
        <v>43629</v>
      </c>
      <c r="F33" s="5"/>
      <c r="G33" s="49"/>
      <c r="H33" s="5">
        <f>10.86*2</f>
        <v>21.72</v>
      </c>
      <c r="I33" s="102">
        <f>22/30*58</f>
        <v>42.533333333333331</v>
      </c>
      <c r="J33" s="5">
        <v>50</v>
      </c>
      <c r="K33" s="5">
        <f>H33+I33+J33</f>
        <v>114.25333333333333</v>
      </c>
      <c r="L33" s="6">
        <v>60</v>
      </c>
      <c r="M33" s="61">
        <v>25</v>
      </c>
      <c r="N33" s="6">
        <v>0</v>
      </c>
    </row>
    <row r="34" spans="1:16">
      <c r="A34" s="22" t="s">
        <v>66</v>
      </c>
      <c r="B34" s="22"/>
      <c r="C34" s="4">
        <v>43600</v>
      </c>
      <c r="D34" s="4"/>
      <c r="E34" s="4">
        <v>43629</v>
      </c>
      <c r="F34" s="5"/>
      <c r="G34" s="49"/>
      <c r="H34" s="5">
        <f>10.86</f>
        <v>10.86</v>
      </c>
      <c r="I34" s="102">
        <f>39/30*58</f>
        <v>75.400000000000006</v>
      </c>
      <c r="J34" s="5"/>
      <c r="K34" s="5">
        <f>H34+I34</f>
        <v>86.26</v>
      </c>
      <c r="L34" s="6">
        <v>110</v>
      </c>
      <c r="M34" s="61">
        <f>25+11+3</f>
        <v>39</v>
      </c>
      <c r="N34" s="6">
        <v>0</v>
      </c>
      <c r="O34" t="s">
        <v>73</v>
      </c>
    </row>
    <row r="35" spans="1:16">
      <c r="A35" s="22" t="s">
        <v>64</v>
      </c>
      <c r="B35" s="22"/>
      <c r="C35" s="4">
        <v>43627</v>
      </c>
      <c r="D35" s="4"/>
      <c r="E35" s="4">
        <v>43629</v>
      </c>
      <c r="F35" s="5"/>
      <c r="G35" s="49"/>
      <c r="H35" s="5">
        <v>10.86</v>
      </c>
      <c r="I35" s="102">
        <f>25/30*2</f>
        <v>1.6666666666666667</v>
      </c>
      <c r="J35" s="5"/>
      <c r="K35" s="5">
        <f>H35+I35</f>
        <v>12.526666666666666</v>
      </c>
      <c r="L35" s="6">
        <v>200</v>
      </c>
      <c r="M35" s="61">
        <v>11</v>
      </c>
      <c r="N35" s="5">
        <f t="shared" ref="N35:N46" si="1">(L35-M35)*0.7</f>
        <v>132.29999999999998</v>
      </c>
    </row>
    <row r="36" spans="1:16">
      <c r="A36" s="22" t="s">
        <v>65</v>
      </c>
      <c r="B36" s="22"/>
      <c r="C36" s="4">
        <v>43622</v>
      </c>
      <c r="D36" s="4"/>
      <c r="E36" s="4">
        <v>43650</v>
      </c>
      <c r="F36" s="5"/>
      <c r="G36" s="49"/>
      <c r="H36" s="5">
        <v>10.86</v>
      </c>
      <c r="I36" s="102"/>
      <c r="J36" s="5"/>
      <c r="K36" s="5"/>
      <c r="L36" s="6">
        <v>120</v>
      </c>
      <c r="M36" s="61">
        <v>60</v>
      </c>
      <c r="N36" s="6">
        <f t="shared" si="1"/>
        <v>42</v>
      </c>
    </row>
    <row r="37" spans="1:16">
      <c r="A37" s="22" t="s">
        <v>71</v>
      </c>
      <c r="B37" s="22"/>
      <c r="C37" s="4">
        <v>43635</v>
      </c>
      <c r="D37" s="4"/>
      <c r="E37" s="4">
        <v>43662</v>
      </c>
      <c r="F37" s="5"/>
      <c r="G37" s="49"/>
      <c r="H37" s="5">
        <f>10.86*2</f>
        <v>21.72</v>
      </c>
      <c r="I37" s="102"/>
      <c r="J37" s="5"/>
      <c r="K37" s="5"/>
      <c r="L37" s="6">
        <v>70</v>
      </c>
      <c r="M37" s="61">
        <v>26</v>
      </c>
      <c r="N37" s="6">
        <f t="shared" si="1"/>
        <v>30.799999999999997</v>
      </c>
      <c r="O37" t="s">
        <v>72</v>
      </c>
    </row>
    <row r="38" spans="1:16">
      <c r="A38" s="2" t="s">
        <v>75</v>
      </c>
      <c r="B38" s="2"/>
      <c r="C38" s="4">
        <v>43656</v>
      </c>
      <c r="D38" s="4"/>
      <c r="E38" s="4">
        <v>43711</v>
      </c>
      <c r="F38" s="5"/>
      <c r="G38" s="49"/>
      <c r="H38" s="5">
        <v>10.86</v>
      </c>
      <c r="I38" s="102">
        <f>36/30*48</f>
        <v>57.599999999999994</v>
      </c>
      <c r="J38" s="5"/>
      <c r="K38" s="5"/>
      <c r="L38" s="6">
        <v>105</v>
      </c>
      <c r="M38" s="61">
        <v>36</v>
      </c>
      <c r="N38" s="6">
        <f t="shared" si="1"/>
        <v>48.3</v>
      </c>
    </row>
    <row r="39" spans="1:16">
      <c r="A39" s="2" t="s">
        <v>76</v>
      </c>
      <c r="B39" s="2"/>
      <c r="C39" s="4">
        <v>43677</v>
      </c>
      <c r="D39" s="4"/>
      <c r="E39" s="4">
        <v>43713</v>
      </c>
      <c r="F39" s="5"/>
      <c r="G39" s="49"/>
      <c r="H39" s="5">
        <v>24.06</v>
      </c>
      <c r="I39" s="102">
        <f>80/30*35</f>
        <v>93.333333333333329</v>
      </c>
      <c r="J39" s="5">
        <v>40</v>
      </c>
      <c r="K39" s="5"/>
      <c r="L39" s="6">
        <v>149</v>
      </c>
      <c r="M39" s="61">
        <v>80</v>
      </c>
      <c r="N39" s="6">
        <f t="shared" si="1"/>
        <v>48.3</v>
      </c>
      <c r="O39" t="s">
        <v>79</v>
      </c>
    </row>
    <row r="40" spans="1:16">
      <c r="A40" s="10" t="s">
        <v>81</v>
      </c>
      <c r="B40" s="10"/>
      <c r="C40" s="11">
        <v>45444</v>
      </c>
      <c r="D40" s="11"/>
      <c r="E40" s="11">
        <v>45408</v>
      </c>
      <c r="F40" s="12"/>
      <c r="G40" s="12"/>
      <c r="H40" s="12"/>
      <c r="I40" s="106">
        <f>43/30*34</f>
        <v>48.733333333333334</v>
      </c>
      <c r="J40" s="12"/>
      <c r="K40" s="12"/>
      <c r="L40" s="12">
        <v>129</v>
      </c>
      <c r="M40" s="107">
        <v>61</v>
      </c>
      <c r="N40" s="12">
        <f t="shared" si="1"/>
        <v>47.599999999999994</v>
      </c>
    </row>
    <row r="41" spans="1:16">
      <c r="A41" s="22" t="s">
        <v>87</v>
      </c>
      <c r="B41" s="22"/>
      <c r="C41" s="35">
        <v>43878</v>
      </c>
      <c r="D41" s="35"/>
      <c r="E41" s="35">
        <v>43892</v>
      </c>
      <c r="F41" s="5"/>
      <c r="G41" s="49"/>
      <c r="H41" s="5">
        <v>12.19</v>
      </c>
      <c r="I41" s="102"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22" t="s">
        <v>89</v>
      </c>
      <c r="B42" s="22"/>
      <c r="C42" s="35">
        <v>43908</v>
      </c>
      <c r="D42" s="35"/>
      <c r="E42" s="35">
        <v>43893</v>
      </c>
      <c r="F42" s="5"/>
      <c r="G42" s="49"/>
      <c r="H42" s="5">
        <v>9.6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6">
      <c r="A43" s="22" t="s">
        <v>85</v>
      </c>
      <c r="B43" s="22"/>
      <c r="C43" s="35">
        <v>43881</v>
      </c>
      <c r="D43" s="35"/>
      <c r="E43" s="35">
        <v>43895</v>
      </c>
      <c r="F43" s="5"/>
      <c r="G43" s="49"/>
      <c r="H43" s="5">
        <v>9.14</v>
      </c>
      <c r="I43" s="102">
        <f>11/30*15</f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6">
      <c r="A44" s="39" t="s">
        <v>82</v>
      </c>
      <c r="B44" s="28"/>
      <c r="C44" s="36">
        <v>40235</v>
      </c>
      <c r="D44" s="36"/>
      <c r="E44" s="36">
        <v>43901</v>
      </c>
      <c r="F44" s="5"/>
      <c r="G44" s="34"/>
      <c r="H44" s="37">
        <v>9.6</v>
      </c>
      <c r="I44" s="102">
        <f>11/2</f>
        <v>5.5</v>
      </c>
      <c r="J44" s="5"/>
      <c r="K44" s="5"/>
      <c r="L44" s="17">
        <v>25</v>
      </c>
      <c r="M44" s="63">
        <v>11</v>
      </c>
      <c r="N44" s="26">
        <f t="shared" si="1"/>
        <v>9.7999999999999989</v>
      </c>
    </row>
    <row r="45" spans="1:16">
      <c r="A45" s="22" t="s">
        <v>80</v>
      </c>
      <c r="B45" s="22"/>
      <c r="C45" s="35">
        <v>43873</v>
      </c>
      <c r="D45" s="35"/>
      <c r="E45" s="35">
        <v>43910</v>
      </c>
      <c r="F45" s="5"/>
      <c r="G45" s="49"/>
      <c r="H45" s="5">
        <v>21.84</v>
      </c>
      <c r="I45" s="102">
        <f>56/30*38</f>
        <v>70.933333333333337</v>
      </c>
      <c r="J45" s="5"/>
      <c r="K45" s="5"/>
      <c r="L45" s="6">
        <v>120</v>
      </c>
      <c r="M45" s="61">
        <v>56</v>
      </c>
      <c r="N45" s="6">
        <f t="shared" si="1"/>
        <v>44.8</v>
      </c>
    </row>
    <row r="46" spans="1:16">
      <c r="A46" s="22" t="s">
        <v>88</v>
      </c>
      <c r="B46" s="22"/>
      <c r="C46" s="35">
        <v>43855</v>
      </c>
      <c r="D46" s="35"/>
      <c r="E46" s="35">
        <v>43941</v>
      </c>
      <c r="F46" s="5"/>
      <c r="G46" s="49"/>
      <c r="H46" s="5">
        <v>13.93</v>
      </c>
      <c r="I46" s="102">
        <f>56/30*85</f>
        <v>158.66666666666666</v>
      </c>
      <c r="J46" s="5"/>
      <c r="K46" s="5"/>
      <c r="L46" s="6">
        <v>110</v>
      </c>
      <c r="M46" s="61">
        <v>56</v>
      </c>
      <c r="N46" s="6">
        <f t="shared" si="1"/>
        <v>37.799999999999997</v>
      </c>
    </row>
    <row r="47" spans="1:16">
      <c r="A47" s="22" t="s">
        <v>90</v>
      </c>
      <c r="B47" s="22"/>
      <c r="C47" s="35" t="s">
        <v>96</v>
      </c>
      <c r="D47" s="35"/>
      <c r="E47" s="35">
        <v>44015</v>
      </c>
      <c r="F47" s="5" t="s">
        <v>160</v>
      </c>
      <c r="G47" s="49">
        <v>12.5</v>
      </c>
      <c r="H47" s="5">
        <v>11.29</v>
      </c>
      <c r="I47" s="102">
        <f>100</f>
        <v>100</v>
      </c>
      <c r="J47" s="5"/>
      <c r="K47" s="5"/>
      <c r="L47" s="6">
        <v>105</v>
      </c>
      <c r="M47" s="61">
        <f>25+11+22</f>
        <v>58</v>
      </c>
      <c r="N47" s="6">
        <f>12.5+(92.5-M47)*0.7</f>
        <v>36.65</v>
      </c>
      <c r="P47" s="41"/>
    </row>
    <row r="48" spans="1:16">
      <c r="A48" s="22" t="s">
        <v>97</v>
      </c>
      <c r="B48" s="22"/>
      <c r="C48" s="35">
        <v>43990</v>
      </c>
      <c r="D48" s="35"/>
      <c r="E48" s="35">
        <v>44036</v>
      </c>
      <c r="F48" s="5"/>
      <c r="G48" s="49"/>
      <c r="H48" s="5">
        <v>8.75</v>
      </c>
      <c r="I48" s="102">
        <f>56/30*46</f>
        <v>85.866666666666674</v>
      </c>
      <c r="J48" s="5"/>
      <c r="K48" s="5"/>
      <c r="L48" s="6">
        <v>110</v>
      </c>
      <c r="M48" s="61">
        <f>45+11</f>
        <v>56</v>
      </c>
      <c r="N48" s="6">
        <f>(L48-M48)*0.7</f>
        <v>37.799999999999997</v>
      </c>
    </row>
    <row r="49" spans="1:16">
      <c r="A49" s="22" t="s">
        <v>95</v>
      </c>
      <c r="B49" s="22"/>
      <c r="C49" s="35">
        <v>44028</v>
      </c>
      <c r="D49" s="35"/>
      <c r="E49" s="35">
        <v>44040</v>
      </c>
      <c r="F49" s="5"/>
      <c r="G49" s="49"/>
      <c r="H49" s="5">
        <v>8.75</v>
      </c>
      <c r="I49" s="102">
        <f>41/30*12</f>
        <v>16.399999999999999</v>
      </c>
      <c r="J49" s="5"/>
      <c r="K49" s="5"/>
      <c r="L49" s="6">
        <v>60</v>
      </c>
      <c r="M49" s="61">
        <v>41</v>
      </c>
      <c r="N49" s="6">
        <f>(L49-M49)*0.7</f>
        <v>13.299999999999999</v>
      </c>
    </row>
    <row r="50" spans="1:16">
      <c r="A50" s="22" t="s">
        <v>94</v>
      </c>
      <c r="B50" s="22"/>
      <c r="C50" s="35">
        <v>44011</v>
      </c>
      <c r="D50" s="35"/>
      <c r="E50" s="35">
        <v>44084</v>
      </c>
      <c r="F50" s="5"/>
      <c r="G50" s="49"/>
      <c r="H50" s="5">
        <v>11.29</v>
      </c>
      <c r="I50" s="102">
        <f>25/30*71</f>
        <v>59.166666666666671</v>
      </c>
      <c r="J50" s="5"/>
      <c r="K50" s="5"/>
      <c r="L50" s="6">
        <v>40</v>
      </c>
      <c r="M50" s="61">
        <v>25</v>
      </c>
      <c r="N50" s="6">
        <f>(L50-M50)*0.7</f>
        <v>10.5</v>
      </c>
    </row>
    <row r="51" spans="1:16">
      <c r="A51" s="2" t="s">
        <v>99</v>
      </c>
      <c r="B51" s="2"/>
      <c r="C51" s="35">
        <v>44084</v>
      </c>
      <c r="D51" s="35"/>
      <c r="E51" s="35">
        <v>44105</v>
      </c>
      <c r="F51" s="5" t="s">
        <v>160</v>
      </c>
      <c r="G51" s="49">
        <v>5</v>
      </c>
      <c r="H51" s="5">
        <v>12.24</v>
      </c>
      <c r="I51" s="102">
        <f>25/30*20</f>
        <v>16.666666666666668</v>
      </c>
      <c r="J51" s="5"/>
      <c r="K51" s="5"/>
      <c r="L51" s="43">
        <v>40</v>
      </c>
      <c r="M51" s="61">
        <v>22</v>
      </c>
      <c r="N51" s="6">
        <f>5+13*0.7</f>
        <v>14.1</v>
      </c>
      <c r="P51" s="41"/>
    </row>
    <row r="52" spans="1:16">
      <c r="A52" s="2" t="s">
        <v>102</v>
      </c>
      <c r="B52" s="2"/>
      <c r="C52" s="4" t="s">
        <v>103</v>
      </c>
      <c r="D52" s="4"/>
      <c r="E52" s="4">
        <v>44110</v>
      </c>
      <c r="F52" s="5" t="s">
        <v>160</v>
      </c>
      <c r="G52" s="49">
        <v>10</v>
      </c>
      <c r="H52" s="5">
        <v>36.65</v>
      </c>
      <c r="I52" s="102">
        <f>115/30*26</f>
        <v>99.666666666666671</v>
      </c>
      <c r="J52" s="5"/>
      <c r="K52" s="5"/>
      <c r="L52" s="6">
        <v>180</v>
      </c>
      <c r="M52" s="61">
        <v>115</v>
      </c>
      <c r="N52" s="6">
        <f>10+55*0.7</f>
        <v>48.5</v>
      </c>
      <c r="P52" s="41"/>
    </row>
    <row r="53" spans="1:16">
      <c r="A53" s="2" t="s">
        <v>94</v>
      </c>
      <c r="B53" s="2"/>
      <c r="C53" s="35">
        <v>44124</v>
      </c>
      <c r="D53" s="35"/>
      <c r="E53" s="35">
        <v>44124</v>
      </c>
      <c r="F53" s="5"/>
      <c r="G53" s="49"/>
      <c r="H53" s="5">
        <v>7.25</v>
      </c>
      <c r="I53" s="102">
        <v>0</v>
      </c>
      <c r="J53" s="5"/>
      <c r="K53" s="5"/>
      <c r="L53" s="6">
        <v>25</v>
      </c>
      <c r="M53" s="61">
        <v>11</v>
      </c>
      <c r="N53" s="6">
        <f>(L53-M53)*0.7</f>
        <v>9.7999999999999989</v>
      </c>
    </row>
    <row r="54" spans="1:16">
      <c r="A54" s="2" t="s">
        <v>100</v>
      </c>
      <c r="B54" s="2"/>
      <c r="C54" s="4">
        <v>44018</v>
      </c>
      <c r="D54" s="4"/>
      <c r="E54" s="4">
        <v>44124</v>
      </c>
      <c r="F54" s="40"/>
      <c r="G54" s="2"/>
      <c r="H54" s="5">
        <v>9.5</v>
      </c>
      <c r="I54" s="102">
        <f>25/30*104</f>
        <v>86.666666666666671</v>
      </c>
      <c r="J54" s="5"/>
      <c r="K54" s="5"/>
      <c r="L54" s="6">
        <v>70</v>
      </c>
      <c r="M54" s="61">
        <v>25</v>
      </c>
      <c r="N54" s="6">
        <f>(L54-M54)*0.7</f>
        <v>31.499999999999996</v>
      </c>
    </row>
    <row r="55" spans="1:16">
      <c r="A55" s="2" t="s">
        <v>101</v>
      </c>
      <c r="B55" s="2"/>
      <c r="C55" s="4">
        <v>44070</v>
      </c>
      <c r="D55" s="4"/>
      <c r="E55" s="4">
        <v>44131</v>
      </c>
      <c r="F55" s="40"/>
      <c r="G55" s="2"/>
      <c r="H55" s="5">
        <v>13.93</v>
      </c>
      <c r="I55" s="102">
        <f>71/30*60</f>
        <v>142</v>
      </c>
      <c r="J55" s="5"/>
      <c r="K55" s="5"/>
      <c r="L55" s="6">
        <v>120</v>
      </c>
      <c r="M55" s="61">
        <f>60+11</f>
        <v>71</v>
      </c>
      <c r="N55" s="6">
        <f>(L55-M55)*0.7</f>
        <v>34.299999999999997</v>
      </c>
    </row>
    <row r="56" spans="1:16">
      <c r="A56" s="22" t="s">
        <v>104</v>
      </c>
      <c r="B56" s="22"/>
      <c r="C56" s="4">
        <v>44159</v>
      </c>
      <c r="D56" s="4"/>
      <c r="E56" s="4">
        <v>44187</v>
      </c>
      <c r="F56" s="40"/>
      <c r="G56" s="2"/>
      <c r="H56" s="5">
        <v>13.93</v>
      </c>
      <c r="I56" s="102">
        <f>36/30*28</f>
        <v>33.6</v>
      </c>
      <c r="J56" s="5"/>
      <c r="K56" s="5"/>
      <c r="L56" s="6">
        <v>110</v>
      </c>
      <c r="M56" s="61">
        <f>25+11</f>
        <v>36</v>
      </c>
      <c r="N56" s="6">
        <f>(L56-M56)*0.7</f>
        <v>51.8</v>
      </c>
    </row>
    <row r="57" spans="1:16">
      <c r="A57" s="22" t="s">
        <v>120</v>
      </c>
      <c r="B57" s="22"/>
      <c r="C57" s="4">
        <v>44169</v>
      </c>
      <c r="D57" s="4"/>
      <c r="E57" s="4">
        <v>44208</v>
      </c>
      <c r="F57" s="5" t="s">
        <v>160</v>
      </c>
      <c r="G57" s="49">
        <v>10</v>
      </c>
      <c r="H57" s="5"/>
      <c r="I57" s="102">
        <f>41/30*38</f>
        <v>51.933333333333337</v>
      </c>
      <c r="J57" s="5"/>
      <c r="K57" s="5"/>
      <c r="L57" s="6">
        <v>70</v>
      </c>
      <c r="M57" s="61">
        <v>45</v>
      </c>
      <c r="N57" s="5">
        <f>10+(60-45)*0.7</f>
        <v>20.5</v>
      </c>
      <c r="O57" s="1" t="s">
        <v>145</v>
      </c>
    </row>
    <row r="58" spans="1:16">
      <c r="A58" s="22" t="s">
        <v>108</v>
      </c>
      <c r="B58" s="22"/>
      <c r="C58" s="4">
        <v>44185</v>
      </c>
      <c r="D58" s="4"/>
      <c r="E58" s="4">
        <v>44242</v>
      </c>
      <c r="F58" s="5" t="s">
        <v>160</v>
      </c>
      <c r="G58" s="49">
        <v>20</v>
      </c>
      <c r="H58" s="5">
        <v>26.48</v>
      </c>
      <c r="I58" s="102">
        <f>50/30*55</f>
        <v>91.666666666666671</v>
      </c>
      <c r="J58" s="5">
        <v>160</v>
      </c>
      <c r="K58" s="5"/>
      <c r="L58" s="6">
        <v>130</v>
      </c>
      <c r="M58" s="61">
        <v>34</v>
      </c>
      <c r="N58" s="5">
        <f>(20+(110-34)*0.7)</f>
        <v>73.199999999999989</v>
      </c>
      <c r="O58" s="1" t="s">
        <v>145</v>
      </c>
    </row>
    <row r="59" spans="1:16">
      <c r="A59" s="22" t="s">
        <v>109</v>
      </c>
      <c r="B59" s="22"/>
      <c r="C59" s="4">
        <v>44209</v>
      </c>
      <c r="D59" s="4"/>
      <c r="E59" s="4">
        <v>44250</v>
      </c>
      <c r="F59" s="5" t="s">
        <v>160</v>
      </c>
      <c r="G59" s="49">
        <v>22.5</v>
      </c>
      <c r="H59" s="5">
        <v>22.83</v>
      </c>
      <c r="I59" s="102">
        <f>100/30*40</f>
        <v>133.33333333333334</v>
      </c>
      <c r="J59" s="5">
        <v>125</v>
      </c>
      <c r="K59" s="5"/>
      <c r="L59" s="6">
        <v>210</v>
      </c>
      <c r="M59" s="61">
        <v>100</v>
      </c>
      <c r="N59" s="6">
        <f>(22.5+87.5*0.7)</f>
        <v>83.75</v>
      </c>
    </row>
    <row r="60" spans="1:16">
      <c r="A60" s="2" t="s">
        <v>113</v>
      </c>
      <c r="B60" s="2"/>
      <c r="C60" s="4">
        <v>44245</v>
      </c>
      <c r="D60" s="4"/>
      <c r="E60" s="4">
        <v>44271</v>
      </c>
      <c r="F60" s="5" t="s">
        <v>160</v>
      </c>
      <c r="G60" s="49">
        <v>15</v>
      </c>
      <c r="H60" s="5">
        <v>26.76</v>
      </c>
      <c r="I60" s="102">
        <f>67/30*28</f>
        <v>62.533333333333331</v>
      </c>
      <c r="J60" s="5"/>
      <c r="K60" s="5"/>
      <c r="L60" s="6">
        <v>140</v>
      </c>
      <c r="M60" s="61">
        <v>67</v>
      </c>
      <c r="N60" s="6">
        <f>(15+0.7*58)</f>
        <v>55.599999999999994</v>
      </c>
    </row>
    <row r="61" spans="1:16">
      <c r="A61" s="2" t="s">
        <v>112</v>
      </c>
      <c r="B61" s="2"/>
      <c r="C61" s="4">
        <v>44270</v>
      </c>
      <c r="D61" s="4"/>
      <c r="E61" s="4">
        <v>44286</v>
      </c>
      <c r="F61" s="5" t="s">
        <v>160</v>
      </c>
      <c r="G61" s="49">
        <v>17.5</v>
      </c>
      <c r="H61" s="5">
        <v>31.96</v>
      </c>
      <c r="I61" s="102">
        <f>55/30*16</f>
        <v>29.333333333333332</v>
      </c>
      <c r="J61" s="5">
        <v>75</v>
      </c>
      <c r="K61" s="5"/>
      <c r="L61" s="6">
        <v>100</v>
      </c>
      <c r="M61" s="61">
        <v>55</v>
      </c>
      <c r="N61" s="6">
        <f>(17.5+27.5*0.7)</f>
        <v>36.75</v>
      </c>
    </row>
    <row r="62" spans="1:16">
      <c r="A62" s="22" t="s">
        <v>121</v>
      </c>
      <c r="B62" s="22"/>
      <c r="C62" s="4">
        <v>44316</v>
      </c>
      <c r="D62" s="4"/>
      <c r="E62" s="4">
        <v>44354</v>
      </c>
      <c r="F62" s="40"/>
      <c r="G62" s="2"/>
      <c r="H62" s="5">
        <v>15.15</v>
      </c>
      <c r="I62" s="102">
        <f>36/30*37</f>
        <v>44.4</v>
      </c>
      <c r="J62" s="5"/>
      <c r="K62" s="5"/>
      <c r="L62" s="6">
        <v>110</v>
      </c>
      <c r="M62" s="61">
        <v>36</v>
      </c>
      <c r="N62" s="5">
        <f>(L62-M62)*0.7</f>
        <v>51.8</v>
      </c>
      <c r="O62" s="1" t="s">
        <v>145</v>
      </c>
    </row>
    <row r="63" spans="1:16">
      <c r="A63" s="22" t="s">
        <v>126</v>
      </c>
      <c r="B63" s="22"/>
      <c r="C63" s="4">
        <v>44336</v>
      </c>
      <c r="D63" s="4"/>
      <c r="E63" s="4">
        <v>44370</v>
      </c>
      <c r="F63" s="5" t="s">
        <v>161</v>
      </c>
      <c r="G63" s="49">
        <v>17.5</v>
      </c>
      <c r="H63" s="5">
        <v>35.78</v>
      </c>
      <c r="I63" s="102">
        <f>58/30*33</f>
        <v>63.8</v>
      </c>
      <c r="J63" s="5">
        <v>50</v>
      </c>
      <c r="K63" s="5"/>
      <c r="L63" s="6">
        <v>150</v>
      </c>
      <c r="M63" s="61">
        <v>58</v>
      </c>
      <c r="N63" s="6">
        <f>(17.5+74.5*0.7)</f>
        <v>69.650000000000006</v>
      </c>
    </row>
    <row r="64" spans="1:16">
      <c r="A64" s="44" t="s">
        <v>125</v>
      </c>
      <c r="B64" s="44"/>
      <c r="C64" s="4">
        <v>44342</v>
      </c>
      <c r="D64" s="4"/>
      <c r="E64" s="4">
        <v>44386</v>
      </c>
      <c r="F64" s="5" t="s">
        <v>160</v>
      </c>
      <c r="G64" s="49">
        <v>12.5</v>
      </c>
      <c r="H64" s="5">
        <v>15.46</v>
      </c>
      <c r="I64" s="102">
        <f>36/30*43</f>
        <v>51.6</v>
      </c>
      <c r="J64" s="5">
        <f>50+45</f>
        <v>95</v>
      </c>
      <c r="K64" s="5"/>
      <c r="L64" s="6">
        <v>80</v>
      </c>
      <c r="M64" s="61">
        <v>33</v>
      </c>
      <c r="N64" s="6">
        <f>12.5+(L64-M64-12.5)*0.7</f>
        <v>36.65</v>
      </c>
    </row>
    <row r="65" spans="1:16">
      <c r="A65" s="44" t="s">
        <v>129</v>
      </c>
      <c r="B65" s="44"/>
      <c r="C65" s="4">
        <v>44348</v>
      </c>
      <c r="D65" s="4"/>
      <c r="E65" s="4">
        <v>44389</v>
      </c>
      <c r="F65" s="5" t="s">
        <v>160</v>
      </c>
      <c r="G65" s="49">
        <v>12.5</v>
      </c>
      <c r="H65" s="5">
        <v>26.22</v>
      </c>
      <c r="I65" s="102">
        <f>71/30*42</f>
        <v>99.4</v>
      </c>
      <c r="J65" s="5">
        <f>50+45</f>
        <v>95</v>
      </c>
      <c r="K65" s="5"/>
      <c r="L65" s="6">
        <v>140</v>
      </c>
      <c r="M65" s="61">
        <v>71</v>
      </c>
      <c r="N65" s="6">
        <f>(12.5+(127.5-71)*0.7)</f>
        <v>52.05</v>
      </c>
    </row>
    <row r="66" spans="1:16">
      <c r="A66" s="44" t="s">
        <v>124</v>
      </c>
      <c r="B66" s="44"/>
      <c r="C66" s="4">
        <v>44348</v>
      </c>
      <c r="D66" s="4"/>
      <c r="E66" s="4">
        <v>44389</v>
      </c>
      <c r="F66" s="40"/>
      <c r="G66" s="2"/>
      <c r="H66" s="5">
        <v>11.62</v>
      </c>
      <c r="I66" s="102">
        <f>26/30*42</f>
        <v>36.4</v>
      </c>
      <c r="J66" s="5">
        <v>65</v>
      </c>
      <c r="K66" s="5"/>
      <c r="L66" s="6">
        <v>70</v>
      </c>
      <c r="M66" s="61">
        <v>26</v>
      </c>
      <c r="N66" s="6">
        <f>(70-26)*0.7</f>
        <v>30.799999999999997</v>
      </c>
    </row>
    <row r="67" spans="1:16">
      <c r="A67" s="44" t="s">
        <v>132</v>
      </c>
      <c r="B67" s="44"/>
      <c r="C67" s="4">
        <v>44407</v>
      </c>
      <c r="D67" s="4"/>
      <c r="E67" s="4">
        <v>44461</v>
      </c>
      <c r="F67" s="40"/>
      <c r="G67" s="2"/>
      <c r="H67" s="5">
        <v>9.8800000000000008</v>
      </c>
      <c r="I67" s="102">
        <f>25/30*52</f>
        <v>43.333333333333336</v>
      </c>
      <c r="J67" s="5"/>
      <c r="K67" s="5"/>
      <c r="L67" s="6">
        <v>40</v>
      </c>
      <c r="M67" s="61">
        <v>25</v>
      </c>
      <c r="N67" s="6">
        <f>(L67-M67)*0.7</f>
        <v>10.5</v>
      </c>
    </row>
    <row r="68" spans="1:16">
      <c r="A68" s="52" t="s">
        <v>141</v>
      </c>
      <c r="B68" s="52"/>
      <c r="C68" s="57">
        <v>44459</v>
      </c>
      <c r="D68" s="57"/>
      <c r="E68" s="57">
        <v>44481</v>
      </c>
      <c r="F68" s="10" t="s">
        <v>161</v>
      </c>
      <c r="G68" s="12">
        <v>10</v>
      </c>
      <c r="H68" s="25">
        <v>15.15</v>
      </c>
      <c r="I68" s="103">
        <f>46/30*22</f>
        <v>33.733333333333334</v>
      </c>
      <c r="J68" s="25">
        <v>80</v>
      </c>
      <c r="K68" s="25"/>
      <c r="L68" s="27">
        <v>120</v>
      </c>
      <c r="M68" s="64">
        <v>46</v>
      </c>
      <c r="N68" s="27">
        <f>10+(120-56)*0.7</f>
        <v>54.8</v>
      </c>
    </row>
    <row r="69" spans="1:16">
      <c r="A69" s="52" t="s">
        <v>140</v>
      </c>
      <c r="B69" s="52"/>
      <c r="C69" s="57">
        <v>44449</v>
      </c>
      <c r="D69" s="57"/>
      <c r="E69" s="57">
        <v>44482</v>
      </c>
      <c r="F69" s="25" t="s">
        <v>160</v>
      </c>
      <c r="G69" s="58">
        <v>10</v>
      </c>
      <c r="H69" s="25">
        <v>13.4</v>
      </c>
      <c r="I69" s="103">
        <f>60/30*33</f>
        <v>66</v>
      </c>
      <c r="J69" s="25">
        <v>80</v>
      </c>
      <c r="K69" s="25"/>
      <c r="L69" s="27">
        <v>120</v>
      </c>
      <c r="M69" s="64">
        <v>61</v>
      </c>
      <c r="N69" s="27">
        <f>(10+49*0.7)</f>
        <v>44.3</v>
      </c>
    </row>
    <row r="70" spans="1:16">
      <c r="A70" s="44" t="s">
        <v>137</v>
      </c>
      <c r="B70" s="44"/>
      <c r="C70" s="35">
        <v>44474</v>
      </c>
      <c r="D70" s="35"/>
      <c r="E70" s="35">
        <v>44487</v>
      </c>
      <c r="F70" s="10" t="s">
        <v>161</v>
      </c>
      <c r="G70" s="12">
        <v>12.5</v>
      </c>
      <c r="H70" s="5">
        <v>15.15</v>
      </c>
      <c r="I70" s="102">
        <f>71/30*13</f>
        <v>30.766666666666666</v>
      </c>
      <c r="J70" s="5">
        <v>95</v>
      </c>
      <c r="K70" s="5"/>
      <c r="L70" s="6">
        <v>140</v>
      </c>
      <c r="M70" s="61">
        <v>71</v>
      </c>
      <c r="N70" s="6">
        <f>12.5+(56.5)*0.7</f>
        <v>52.05</v>
      </c>
    </row>
    <row r="71" spans="1:16">
      <c r="A71" s="44" t="s">
        <v>143</v>
      </c>
      <c r="B71" s="44"/>
      <c r="C71" s="35">
        <v>43717</v>
      </c>
      <c r="D71" s="35"/>
      <c r="E71" s="35">
        <v>44505</v>
      </c>
      <c r="F71" s="40"/>
      <c r="G71" s="49"/>
      <c r="H71" s="5">
        <v>13.4</v>
      </c>
      <c r="I71" s="102">
        <f>36*25+36/30*26</f>
        <v>931.2</v>
      </c>
      <c r="J71" s="5"/>
      <c r="K71" s="5"/>
      <c r="L71" s="6">
        <v>100</v>
      </c>
      <c r="M71" s="61">
        <v>36</v>
      </c>
      <c r="N71" s="6">
        <f>(100-36)*0.7</f>
        <v>44.8</v>
      </c>
    </row>
    <row r="72" spans="1:16">
      <c r="A72" s="44" t="s">
        <v>139</v>
      </c>
      <c r="B72" s="44"/>
      <c r="C72" s="35">
        <v>44492</v>
      </c>
      <c r="D72" s="35"/>
      <c r="E72" s="35">
        <v>44539</v>
      </c>
      <c r="F72" s="40"/>
      <c r="G72" s="49"/>
      <c r="H72" s="5">
        <v>16.350000000000001</v>
      </c>
      <c r="I72" s="102">
        <f>71/30*46</f>
        <v>108.86666666666667</v>
      </c>
      <c r="J72" s="5">
        <v>95</v>
      </c>
      <c r="K72" s="5"/>
      <c r="L72" s="6">
        <v>140</v>
      </c>
      <c r="M72" s="61">
        <v>71</v>
      </c>
      <c r="N72" s="12">
        <f>(140-71)*0.7</f>
        <v>48.3</v>
      </c>
      <c r="O72" s="72" t="s">
        <v>329</v>
      </c>
      <c r="P72" s="72">
        <v>33.81</v>
      </c>
    </row>
    <row r="73" spans="1:16">
      <c r="A73" s="44" t="s">
        <v>144</v>
      </c>
      <c r="B73" s="44"/>
      <c r="C73" s="35">
        <v>44526</v>
      </c>
      <c r="D73" s="35"/>
      <c r="E73" s="35">
        <v>44550</v>
      </c>
      <c r="F73" s="5" t="s">
        <v>160</v>
      </c>
      <c r="G73" s="49">
        <v>12.5</v>
      </c>
      <c r="H73" s="5">
        <v>13.4</v>
      </c>
      <c r="I73" s="102">
        <f>83/30*24</f>
        <v>66.400000000000006</v>
      </c>
      <c r="J73" s="5"/>
      <c r="K73" s="5"/>
      <c r="L73" s="6">
        <v>140</v>
      </c>
      <c r="M73" s="61">
        <v>94</v>
      </c>
      <c r="N73" s="6">
        <f>12.5+(140-12.5-94)*0.7</f>
        <v>35.950000000000003</v>
      </c>
    </row>
    <row r="74" spans="1:16">
      <c r="A74" s="44" t="s">
        <v>149</v>
      </c>
      <c r="B74" s="44"/>
      <c r="C74" s="35">
        <v>44880</v>
      </c>
      <c r="D74" s="35"/>
      <c r="E74" s="35">
        <v>44575</v>
      </c>
      <c r="F74" s="40"/>
      <c r="G74" s="49"/>
      <c r="H74" s="5">
        <v>13.4</v>
      </c>
      <c r="I74" s="102"/>
      <c r="J74" s="5">
        <v>50</v>
      </c>
      <c r="K74" s="5"/>
      <c r="L74" s="6">
        <v>160</v>
      </c>
      <c r="M74" s="61">
        <f>71+9</f>
        <v>80</v>
      </c>
      <c r="N74" s="6">
        <f>(160-80)*0.7</f>
        <v>56</v>
      </c>
    </row>
    <row r="75" spans="1:16">
      <c r="A75" s="44" t="s">
        <v>146</v>
      </c>
      <c r="B75" s="44"/>
      <c r="C75" s="4">
        <v>44586</v>
      </c>
      <c r="D75" s="4"/>
      <c r="E75" s="4">
        <v>44615</v>
      </c>
      <c r="F75" s="10" t="s">
        <v>161</v>
      </c>
      <c r="G75" s="12">
        <v>12.5</v>
      </c>
      <c r="H75" s="5">
        <v>15.46</v>
      </c>
      <c r="I75" s="102">
        <f>27/30*28</f>
        <v>25.2</v>
      </c>
      <c r="J75" s="5">
        <v>110</v>
      </c>
      <c r="K75" s="5"/>
      <c r="L75" s="6">
        <v>154</v>
      </c>
      <c r="M75" s="61">
        <v>72</v>
      </c>
      <c r="N75" s="6">
        <f>12.5+(154-12.5-62)*0.7</f>
        <v>68.150000000000006</v>
      </c>
    </row>
    <row r="76" spans="1:16">
      <c r="A76" s="44" t="s">
        <v>148</v>
      </c>
      <c r="B76" s="44"/>
      <c r="C76" s="4">
        <v>44579</v>
      </c>
      <c r="D76" s="4"/>
      <c r="E76" s="4">
        <v>44594</v>
      </c>
      <c r="F76" s="40"/>
      <c r="G76" s="49"/>
      <c r="H76" s="5">
        <v>13.4</v>
      </c>
      <c r="I76" s="102">
        <f>22/30*14</f>
        <v>10.266666666666666</v>
      </c>
      <c r="J76" s="5">
        <v>30</v>
      </c>
      <c r="K76" s="5"/>
      <c r="L76" s="6">
        <v>50</v>
      </c>
      <c r="M76" s="61">
        <v>22</v>
      </c>
      <c r="N76" s="6">
        <f>(50-22)*0.7</f>
        <v>19.599999999999998</v>
      </c>
    </row>
    <row r="77" spans="1:16">
      <c r="A77" s="44" t="s">
        <v>150</v>
      </c>
      <c r="B77" s="44"/>
      <c r="C77" s="4">
        <v>44899</v>
      </c>
      <c r="D77" s="4"/>
      <c r="E77" s="4">
        <v>44607</v>
      </c>
      <c r="F77" s="12" t="s">
        <v>160</v>
      </c>
      <c r="G77" s="12">
        <v>12.5</v>
      </c>
      <c r="H77" s="5">
        <v>13.4</v>
      </c>
      <c r="I77" s="102">
        <f>71/30*61</f>
        <v>144.36666666666667</v>
      </c>
      <c r="J77" s="5">
        <v>80</v>
      </c>
      <c r="K77" s="5"/>
      <c r="L77" s="6">
        <v>120</v>
      </c>
      <c r="M77" s="61">
        <v>60</v>
      </c>
      <c r="N77" s="6">
        <f>12.5+(120-72.5)*0.7</f>
        <v>45.75</v>
      </c>
    </row>
    <row r="78" spans="1:16">
      <c r="A78" s="44" t="s">
        <v>151</v>
      </c>
      <c r="B78" s="44"/>
      <c r="C78" s="4">
        <v>44926</v>
      </c>
      <c r="D78" s="4"/>
      <c r="E78" s="4">
        <v>44649</v>
      </c>
      <c r="F78" s="40"/>
      <c r="G78" s="40"/>
      <c r="H78" s="5">
        <v>9.0299999999999994</v>
      </c>
      <c r="I78" s="102">
        <f>25*2+25/30*29</f>
        <v>74.166666666666671</v>
      </c>
      <c r="J78" s="5">
        <v>80</v>
      </c>
      <c r="K78" s="5"/>
      <c r="L78" s="6">
        <v>67.5</v>
      </c>
      <c r="M78" s="61">
        <v>25</v>
      </c>
      <c r="N78" s="6">
        <f>(67.5-25)*0.7</f>
        <v>29.749999999999996</v>
      </c>
    </row>
    <row r="79" spans="1:16">
      <c r="A79" s="44" t="s">
        <v>152</v>
      </c>
      <c r="B79" s="44"/>
      <c r="C79" s="4">
        <v>44852</v>
      </c>
      <c r="D79" s="4"/>
      <c r="E79" s="4">
        <v>44649</v>
      </c>
      <c r="F79" s="40"/>
      <c r="G79" s="40"/>
      <c r="H79" s="5">
        <v>9.0299999999999994</v>
      </c>
      <c r="I79" s="102">
        <f>45*4+45/30*13</f>
        <v>199.5</v>
      </c>
      <c r="J79" s="5">
        <v>80</v>
      </c>
      <c r="K79" s="5"/>
      <c r="L79" s="6">
        <v>67.5</v>
      </c>
      <c r="M79" s="61">
        <v>45</v>
      </c>
      <c r="N79" s="6">
        <f>(L79-M79)*0.7</f>
        <v>15.749999999999998</v>
      </c>
    </row>
    <row r="80" spans="1:16">
      <c r="A80" s="44" t="s">
        <v>153</v>
      </c>
      <c r="B80" s="44"/>
      <c r="C80" s="4">
        <v>44623</v>
      </c>
      <c r="D80" s="4"/>
      <c r="E80" s="4">
        <v>44623</v>
      </c>
      <c r="F80" s="40"/>
      <c r="G80" s="40"/>
      <c r="H80" s="5">
        <v>11.03</v>
      </c>
      <c r="I80" s="102">
        <v>0</v>
      </c>
      <c r="J80" s="5">
        <v>15</v>
      </c>
      <c r="K80" s="5"/>
      <c r="L80" s="6">
        <v>30</v>
      </c>
      <c r="M80" s="61">
        <v>12</v>
      </c>
      <c r="N80" s="6">
        <f>(L80-M80)*0.7</f>
        <v>12.6</v>
      </c>
    </row>
    <row r="81" spans="1:14">
      <c r="A81" s="44" t="s">
        <v>154</v>
      </c>
      <c r="B81" s="44"/>
      <c r="C81" s="4">
        <v>44881</v>
      </c>
      <c r="D81" s="4"/>
      <c r="E81" s="4">
        <v>44628</v>
      </c>
      <c r="F81" s="40"/>
      <c r="G81" s="40"/>
      <c r="H81" s="5">
        <v>9.0299999999999994</v>
      </c>
      <c r="I81" s="102">
        <f>65*3+65/30*22</f>
        <v>242.66666666666666</v>
      </c>
      <c r="J81" s="5">
        <v>95</v>
      </c>
      <c r="K81" s="5"/>
      <c r="L81" s="6">
        <v>112</v>
      </c>
      <c r="M81" s="61">
        <v>65</v>
      </c>
      <c r="N81" s="6">
        <f>(L81-M81)*0.7</f>
        <v>32.9</v>
      </c>
    </row>
    <row r="82" spans="1:14">
      <c r="A82" s="44" t="s">
        <v>155</v>
      </c>
      <c r="B82" s="44"/>
      <c r="C82" s="4">
        <v>44490</v>
      </c>
      <c r="D82" s="4"/>
      <c r="E82" s="4">
        <v>44648</v>
      </c>
      <c r="F82" s="40"/>
      <c r="G82" s="40"/>
      <c r="H82" s="5">
        <v>13.4</v>
      </c>
      <c r="I82" s="102">
        <f>45*5+45/30*7</f>
        <v>235.5</v>
      </c>
      <c r="J82" s="5">
        <v>80</v>
      </c>
      <c r="K82" s="5"/>
      <c r="L82" s="6">
        <v>67.5</v>
      </c>
      <c r="M82" s="61">
        <v>45</v>
      </c>
      <c r="N82" s="6">
        <f>(L82-M82)*0.7</f>
        <v>15.749999999999998</v>
      </c>
    </row>
    <row r="83" spans="1:14">
      <c r="A83" s="44" t="s">
        <v>156</v>
      </c>
      <c r="B83" s="44"/>
      <c r="C83" s="4">
        <v>44489</v>
      </c>
      <c r="D83" s="4"/>
      <c r="E83" s="4">
        <v>44651</v>
      </c>
      <c r="F83" s="40"/>
      <c r="G83" s="40"/>
      <c r="H83" s="5">
        <v>15.46</v>
      </c>
      <c r="I83" s="102">
        <f>50*5+50/10</f>
        <v>255</v>
      </c>
      <c r="J83" s="5">
        <v>145</v>
      </c>
      <c r="K83" s="5"/>
      <c r="L83" s="6">
        <v>125</v>
      </c>
      <c r="M83" s="61">
        <v>50</v>
      </c>
      <c r="N83" s="6">
        <f>(L83-M83)*0.7</f>
        <v>52.5</v>
      </c>
    </row>
    <row r="84" spans="1:14">
      <c r="A84" s="44" t="s">
        <v>157</v>
      </c>
      <c r="B84" s="44"/>
      <c r="C84" s="4">
        <v>44627</v>
      </c>
      <c r="D84" s="4"/>
      <c r="E84" s="4">
        <v>44627</v>
      </c>
      <c r="F84" s="10" t="s">
        <v>161</v>
      </c>
      <c r="G84" s="12">
        <v>10</v>
      </c>
      <c r="H84" s="5">
        <v>15.46</v>
      </c>
      <c r="I84" s="102">
        <v>0</v>
      </c>
      <c r="J84" s="5">
        <v>0</v>
      </c>
      <c r="K84" s="5"/>
      <c r="L84" s="6">
        <v>100</v>
      </c>
      <c r="M84" s="61">
        <v>44</v>
      </c>
      <c r="N84" s="6">
        <f>10+(46)*0.7</f>
        <v>42.199999999999996</v>
      </c>
    </row>
    <row r="85" spans="1:14">
      <c r="A85" s="44" t="s">
        <v>158</v>
      </c>
      <c r="B85" s="44"/>
      <c r="C85" s="4">
        <v>44627</v>
      </c>
      <c r="D85" s="4"/>
      <c r="E85" s="4">
        <v>44627</v>
      </c>
      <c r="F85" s="10" t="s">
        <v>161</v>
      </c>
      <c r="G85" s="12">
        <v>12.5</v>
      </c>
      <c r="H85" s="5">
        <v>15.46</v>
      </c>
      <c r="I85" s="102">
        <v>0</v>
      </c>
      <c r="J85" s="5">
        <v>0</v>
      </c>
      <c r="K85" s="5"/>
      <c r="L85" s="6">
        <v>125</v>
      </c>
      <c r="M85" s="61">
        <v>55</v>
      </c>
      <c r="N85" s="6">
        <f>12.5+(57.5)*0.7</f>
        <v>52.75</v>
      </c>
    </row>
    <row r="86" spans="1:14">
      <c r="A86" s="44" t="s">
        <v>171</v>
      </c>
      <c r="B86" s="44"/>
      <c r="C86" s="4">
        <v>44648</v>
      </c>
      <c r="D86" s="4"/>
      <c r="E86" s="4">
        <v>44734</v>
      </c>
      <c r="F86" s="40"/>
      <c r="G86" s="5"/>
      <c r="H86" s="5">
        <v>13.72</v>
      </c>
      <c r="I86" s="102">
        <f>56/30*84</f>
        <v>156.80000000000001</v>
      </c>
      <c r="J86" s="5">
        <v>95</v>
      </c>
      <c r="K86" s="5"/>
      <c r="L86" s="6">
        <v>140</v>
      </c>
      <c r="M86" s="61">
        <v>56</v>
      </c>
      <c r="N86" s="6">
        <f>(140-56)*0.7</f>
        <v>58.8</v>
      </c>
    </row>
    <row r="87" spans="1:14">
      <c r="A87" s="44" t="s">
        <v>172</v>
      </c>
      <c r="B87" s="44"/>
      <c r="C87" s="4">
        <v>44705</v>
      </c>
      <c r="D87" s="4"/>
      <c r="E87" s="4">
        <v>44715</v>
      </c>
      <c r="F87" s="40"/>
      <c r="G87" s="5"/>
      <c r="H87" s="5">
        <v>10.039999999999999</v>
      </c>
      <c r="I87" s="102">
        <f>25/30*9</f>
        <v>7.5</v>
      </c>
      <c r="J87" s="5"/>
      <c r="K87" s="5"/>
      <c r="L87" s="6">
        <v>50</v>
      </c>
      <c r="M87" s="61">
        <v>25</v>
      </c>
      <c r="N87" s="6">
        <f>(50-25)*0.7</f>
        <v>17.5</v>
      </c>
    </row>
    <row r="88" spans="1:14">
      <c r="A88" s="44" t="s">
        <v>173</v>
      </c>
      <c r="B88" s="44"/>
      <c r="C88" s="4">
        <v>44704</v>
      </c>
      <c r="D88" s="4"/>
      <c r="E88" s="4">
        <v>44721</v>
      </c>
      <c r="F88" s="10" t="s">
        <v>161</v>
      </c>
      <c r="G88" s="56">
        <v>12.5</v>
      </c>
      <c r="H88" s="5">
        <v>13.72</v>
      </c>
      <c r="I88" s="102">
        <f>37/30*16</f>
        <v>19.733333333333334</v>
      </c>
      <c r="J88" s="5">
        <f>50+45</f>
        <v>95</v>
      </c>
      <c r="K88" s="5"/>
      <c r="L88" s="6">
        <v>110</v>
      </c>
      <c r="M88" s="61">
        <v>37</v>
      </c>
      <c r="N88" s="56">
        <f>12.5+(97.5-37)*0.7</f>
        <v>54.849999999999994</v>
      </c>
    </row>
    <row r="89" spans="1:14">
      <c r="A89" s="44" t="s">
        <v>174</v>
      </c>
      <c r="B89" s="44"/>
      <c r="C89" s="4">
        <v>44715</v>
      </c>
      <c r="D89" s="4"/>
      <c r="E89" s="4">
        <v>44820</v>
      </c>
      <c r="F89" s="10" t="s">
        <v>161</v>
      </c>
      <c r="G89" s="56">
        <v>15</v>
      </c>
      <c r="H89" s="5">
        <v>14.6</v>
      </c>
      <c r="I89" s="102">
        <f>56/30*103</f>
        <v>192.26666666666668</v>
      </c>
      <c r="J89" s="5">
        <v>50</v>
      </c>
      <c r="K89" s="5"/>
      <c r="L89" s="6">
        <f>130</f>
        <v>130</v>
      </c>
      <c r="M89" s="61">
        <v>56</v>
      </c>
      <c r="N89" s="56">
        <f>15+(115-56)*0.7</f>
        <v>56.3</v>
      </c>
    </row>
    <row r="90" spans="1:14">
      <c r="A90" s="44" t="s">
        <v>183</v>
      </c>
      <c r="B90" s="44"/>
      <c r="C90" s="4">
        <v>44749</v>
      </c>
      <c r="D90" s="4">
        <v>44830</v>
      </c>
      <c r="E90" s="4">
        <v>44858</v>
      </c>
      <c r="F90" s="40"/>
      <c r="G90" s="5"/>
      <c r="H90" s="5">
        <v>11.03</v>
      </c>
      <c r="I90" s="102">
        <v>25</v>
      </c>
      <c r="J90" s="5">
        <v>15</v>
      </c>
      <c r="K90" s="5"/>
      <c r="L90" s="6">
        <v>80</v>
      </c>
      <c r="M90" s="61">
        <v>25</v>
      </c>
      <c r="N90" s="6">
        <f>55*0.7</f>
        <v>38.5</v>
      </c>
    </row>
    <row r="91" spans="1:14">
      <c r="A91" s="44" t="s">
        <v>184</v>
      </c>
      <c r="B91" s="44"/>
      <c r="C91" s="4">
        <v>44775</v>
      </c>
      <c r="D91" s="4">
        <v>44810</v>
      </c>
      <c r="E91" s="4">
        <v>44848</v>
      </c>
      <c r="F91" s="40"/>
      <c r="G91" s="5"/>
      <c r="H91" s="5">
        <v>23.38</v>
      </c>
      <c r="I91" s="102">
        <f>100/30*38</f>
        <v>126.66666666666667</v>
      </c>
      <c r="J91" s="5">
        <v>155</v>
      </c>
      <c r="K91" s="5"/>
      <c r="L91" s="6">
        <v>220</v>
      </c>
      <c r="M91" s="61">
        <v>100</v>
      </c>
      <c r="N91" s="6">
        <v>90.75</v>
      </c>
    </row>
    <row r="92" spans="1:14">
      <c r="A92" s="44" t="s">
        <v>185</v>
      </c>
      <c r="B92" s="44"/>
      <c r="C92" s="4">
        <v>44830</v>
      </c>
      <c r="D92" s="4">
        <v>44852</v>
      </c>
      <c r="E92" s="4">
        <v>44858</v>
      </c>
      <c r="F92" s="10" t="s">
        <v>161</v>
      </c>
      <c r="G92" s="12">
        <v>15</v>
      </c>
      <c r="H92" s="5">
        <v>23.38</v>
      </c>
      <c r="I92" s="102">
        <f>54.5/30*6</f>
        <v>10.9</v>
      </c>
      <c r="J92" s="5">
        <v>95</v>
      </c>
      <c r="K92" s="5"/>
      <c r="L92" s="6">
        <v>160</v>
      </c>
      <c r="M92" s="61">
        <v>64.5</v>
      </c>
      <c r="N92" s="6">
        <f>15+(145-64.5)*0.7</f>
        <v>71.349999999999994</v>
      </c>
    </row>
    <row r="93" spans="1:14">
      <c r="A93" s="44" t="s">
        <v>190</v>
      </c>
      <c r="B93" s="44"/>
      <c r="C93" s="4"/>
      <c r="D93" s="4">
        <v>44879</v>
      </c>
      <c r="E93" s="35">
        <v>44887</v>
      </c>
      <c r="F93" s="44" t="s">
        <v>161</v>
      </c>
      <c r="G93" s="56">
        <v>10</v>
      </c>
      <c r="H93" s="5">
        <v>14.6</v>
      </c>
      <c r="I93" s="102">
        <f>34/30*8</f>
        <v>9.0666666666666664</v>
      </c>
      <c r="J93" s="5">
        <v>45</v>
      </c>
      <c r="K93" s="5"/>
      <c r="L93" s="6">
        <v>90</v>
      </c>
      <c r="M93" s="61">
        <v>34</v>
      </c>
      <c r="N93" s="56">
        <f>10+(80-34)*0.7</f>
        <v>42.199999999999996</v>
      </c>
    </row>
    <row r="94" spans="1:14">
      <c r="A94" s="44" t="s">
        <v>193</v>
      </c>
      <c r="B94" s="44"/>
      <c r="C94" s="4">
        <v>44872</v>
      </c>
      <c r="D94" s="4">
        <v>44879</v>
      </c>
      <c r="E94" s="35">
        <v>44882</v>
      </c>
      <c r="F94" s="40"/>
      <c r="G94" s="5"/>
      <c r="H94" s="5">
        <v>10.039999999999999</v>
      </c>
      <c r="I94" s="102">
        <f>25/30*3</f>
        <v>2.5</v>
      </c>
      <c r="J94" s="5"/>
      <c r="K94" s="5"/>
      <c r="L94" s="6">
        <v>40</v>
      </c>
      <c r="M94" s="61">
        <v>25</v>
      </c>
      <c r="N94" s="6">
        <f>(L94-M94)*0.7</f>
        <v>10.5</v>
      </c>
    </row>
    <row r="95" spans="1:14">
      <c r="A95" s="44" t="s">
        <v>213</v>
      </c>
      <c r="B95" s="44"/>
      <c r="C95" s="4">
        <v>44894</v>
      </c>
      <c r="D95" s="4">
        <v>44908</v>
      </c>
      <c r="E95" s="35">
        <v>44944</v>
      </c>
      <c r="F95" s="40" t="s">
        <v>161</v>
      </c>
      <c r="G95" s="5">
        <v>15</v>
      </c>
      <c r="H95" s="5">
        <v>31.72</v>
      </c>
      <c r="I95" s="102">
        <f>50/30*35</f>
        <v>58.333333333333336</v>
      </c>
      <c r="J95" s="5">
        <f>60+50</f>
        <v>110</v>
      </c>
      <c r="K95" s="5"/>
      <c r="L95" s="6">
        <v>130</v>
      </c>
      <c r="M95" s="61">
        <f>19+2+3.5*2+11*2</f>
        <v>50</v>
      </c>
      <c r="N95" s="94">
        <f>15+(L95-M95-15)*0.7</f>
        <v>60.5</v>
      </c>
    </row>
    <row r="96" spans="1:14">
      <c r="A96" s="44" t="s">
        <v>227</v>
      </c>
      <c r="B96" s="44"/>
      <c r="C96" s="4">
        <v>44949</v>
      </c>
      <c r="D96" s="4">
        <v>44953</v>
      </c>
      <c r="E96" s="35">
        <v>44966</v>
      </c>
      <c r="F96" s="40" t="s">
        <v>160</v>
      </c>
      <c r="G96" s="5">
        <v>15</v>
      </c>
      <c r="H96" s="5">
        <v>16.38</v>
      </c>
      <c r="I96" s="102">
        <f>61.5/30*12</f>
        <v>24.599999999999998</v>
      </c>
      <c r="J96" s="5">
        <f>50+60</f>
        <v>110</v>
      </c>
      <c r="K96" s="5"/>
      <c r="L96" s="6">
        <v>160</v>
      </c>
      <c r="M96" s="65">
        <f>32.5+7+22</f>
        <v>61.5</v>
      </c>
      <c r="N96" s="59">
        <f>15+(L96-M96-15)*0.7</f>
        <v>73.449999999999989</v>
      </c>
    </row>
    <row r="97" spans="1:16">
      <c r="A97" s="44" t="s">
        <v>228</v>
      </c>
      <c r="B97" s="44"/>
      <c r="C97" s="4">
        <v>44957</v>
      </c>
      <c r="D97" s="4">
        <v>44957</v>
      </c>
      <c r="E97" s="35">
        <v>44977</v>
      </c>
      <c r="F97" s="40"/>
      <c r="G97" s="5"/>
      <c r="H97" s="5">
        <v>20.61</v>
      </c>
      <c r="I97" s="102">
        <f>66/30*20</f>
        <v>44</v>
      </c>
      <c r="J97" s="5">
        <v>90</v>
      </c>
      <c r="K97" s="5"/>
      <c r="L97" s="6">
        <v>155</v>
      </c>
      <c r="M97" s="65">
        <v>54</v>
      </c>
      <c r="N97" s="59">
        <f>(L97-M97)*0.7</f>
        <v>70.699999999999989</v>
      </c>
    </row>
    <row r="98" spans="1:16">
      <c r="A98" s="44" t="s">
        <v>255</v>
      </c>
      <c r="B98" s="44"/>
      <c r="C98" s="35">
        <v>44691</v>
      </c>
      <c r="D98" s="35">
        <v>44994</v>
      </c>
      <c r="E98" s="4">
        <v>44994</v>
      </c>
      <c r="F98" s="40"/>
      <c r="G98" s="40"/>
      <c r="H98" s="5">
        <v>11.03</v>
      </c>
      <c r="I98" s="102">
        <f>25*14</f>
        <v>350</v>
      </c>
      <c r="J98" s="40">
        <f>30+50</f>
        <v>80</v>
      </c>
      <c r="K98" s="40"/>
      <c r="L98" s="6">
        <v>90</v>
      </c>
      <c r="M98" s="6">
        <v>25</v>
      </c>
      <c r="N98" s="59">
        <v>48.5</v>
      </c>
    </row>
    <row r="99" spans="1:16">
      <c r="A99" s="44" t="s">
        <v>187</v>
      </c>
      <c r="B99" s="44"/>
      <c r="C99" s="35"/>
      <c r="D99" s="35">
        <v>44991</v>
      </c>
      <c r="E99" s="4">
        <v>44991</v>
      </c>
      <c r="F99" s="40"/>
      <c r="G99" s="40"/>
      <c r="H99" s="5">
        <v>13.31</v>
      </c>
      <c r="I99" s="102"/>
      <c r="J99" s="40">
        <v>45</v>
      </c>
      <c r="K99" s="40"/>
      <c r="L99" s="6">
        <v>80</v>
      </c>
      <c r="M99" s="6">
        <v>27</v>
      </c>
      <c r="N99" s="59">
        <f>(L99-M99)*0.7</f>
        <v>37.099999999999994</v>
      </c>
    </row>
    <row r="100" spans="1:16">
      <c r="A100" s="76" t="s">
        <v>276</v>
      </c>
      <c r="B100" s="44"/>
      <c r="C100" s="35">
        <v>45061</v>
      </c>
      <c r="D100" s="35">
        <v>45070</v>
      </c>
      <c r="E100" s="4"/>
      <c r="F100" s="40"/>
      <c r="G100" s="40"/>
      <c r="H100" s="5">
        <v>11.48</v>
      </c>
      <c r="I100" s="102">
        <f>21/30*9</f>
        <v>6.3</v>
      </c>
      <c r="J100" s="40"/>
      <c r="K100" s="40"/>
      <c r="L100" s="17">
        <f>50</f>
        <v>50</v>
      </c>
      <c r="M100" s="18">
        <v>21</v>
      </c>
      <c r="N100" s="70">
        <f>(50-21)*0.7</f>
        <v>20.299999999999997</v>
      </c>
    </row>
    <row r="101" spans="1:16">
      <c r="A101" s="76" t="s">
        <v>279</v>
      </c>
      <c r="B101" s="44"/>
      <c r="C101" s="35">
        <v>45065</v>
      </c>
      <c r="D101" s="35">
        <v>45070</v>
      </c>
      <c r="E101" s="4"/>
      <c r="F101" s="40"/>
      <c r="G101" s="40"/>
      <c r="H101" s="5">
        <v>11.48</v>
      </c>
      <c r="I101" s="102">
        <f>21/30*5</f>
        <v>3.5</v>
      </c>
      <c r="J101" s="40"/>
      <c r="K101" s="40"/>
      <c r="L101" s="17">
        <f>50</f>
        <v>50</v>
      </c>
      <c r="M101" s="18">
        <v>21</v>
      </c>
      <c r="N101" s="70">
        <f>(50-21)*0.7</f>
        <v>20.299999999999997</v>
      </c>
    </row>
    <row r="102" spans="1:16">
      <c r="A102" s="76" t="s">
        <v>278</v>
      </c>
      <c r="B102" s="52"/>
      <c r="C102" s="57">
        <v>44973</v>
      </c>
      <c r="D102" s="57">
        <v>45070</v>
      </c>
      <c r="E102" s="24"/>
      <c r="F102" s="48"/>
      <c r="G102" s="48"/>
      <c r="H102" s="25">
        <v>11.48</v>
      </c>
      <c r="I102" s="103">
        <f>21/30*98</f>
        <v>68.599999999999994</v>
      </c>
      <c r="J102" s="48"/>
      <c r="K102" s="48"/>
      <c r="L102" s="17">
        <v>50</v>
      </c>
      <c r="M102" s="26">
        <v>21</v>
      </c>
      <c r="N102" s="85">
        <f>(50-21)*0.7</f>
        <v>20.299999999999997</v>
      </c>
    </row>
    <row r="103" spans="1:16">
      <c r="A103" s="44" t="s">
        <v>289</v>
      </c>
      <c r="B103" s="44"/>
      <c r="C103" s="35">
        <v>45110</v>
      </c>
      <c r="D103" s="35">
        <v>45127</v>
      </c>
      <c r="E103" s="4">
        <v>45110</v>
      </c>
      <c r="F103" s="40"/>
      <c r="G103" s="40"/>
      <c r="H103" s="5">
        <v>13.31</v>
      </c>
      <c r="I103" s="102">
        <f>27/30*17</f>
        <v>15.3</v>
      </c>
      <c r="J103" s="40">
        <v>45</v>
      </c>
      <c r="K103" s="40"/>
      <c r="L103" s="6">
        <v>75</v>
      </c>
      <c r="M103" s="6">
        <v>27</v>
      </c>
      <c r="N103" s="59">
        <f>(L103-M103)*0.7</f>
        <v>33.599999999999994</v>
      </c>
    </row>
    <row r="104" spans="1:16">
      <c r="A104" s="44" t="s">
        <v>292</v>
      </c>
      <c r="B104" s="44"/>
      <c r="C104" s="35">
        <v>45138</v>
      </c>
      <c r="D104" s="35">
        <v>45139</v>
      </c>
      <c r="E104" s="35">
        <v>45162</v>
      </c>
      <c r="F104" s="40"/>
      <c r="G104" s="40"/>
      <c r="H104" s="5">
        <v>12.48</v>
      </c>
      <c r="I104" s="102">
        <f>27/30*23</f>
        <v>20.7</v>
      </c>
      <c r="J104" s="40">
        <v>45</v>
      </c>
      <c r="K104" s="40"/>
      <c r="L104" s="6">
        <v>90</v>
      </c>
      <c r="M104" s="6">
        <v>27</v>
      </c>
      <c r="N104" s="59">
        <f>(L104-M104)*0.7</f>
        <v>44.099999999999994</v>
      </c>
    </row>
    <row r="105" spans="1:16">
      <c r="A105" s="44" t="s">
        <v>293</v>
      </c>
      <c r="B105" s="44"/>
      <c r="C105" s="35">
        <v>45086</v>
      </c>
      <c r="D105" s="35">
        <v>45089</v>
      </c>
      <c r="E105" s="4">
        <v>45103</v>
      </c>
      <c r="F105" s="40"/>
      <c r="G105" s="40"/>
      <c r="H105" s="5">
        <v>11.03</v>
      </c>
      <c r="I105" s="102">
        <f>21/30*14</f>
        <v>9.7999999999999989</v>
      </c>
      <c r="J105" s="40"/>
      <c r="K105" s="40"/>
      <c r="L105" s="6">
        <v>50</v>
      </c>
      <c r="M105" s="6">
        <v>21</v>
      </c>
      <c r="N105" s="59">
        <f>(L105-M105)*0.7</f>
        <v>20.299999999999997</v>
      </c>
    </row>
    <row r="106" spans="1:16">
      <c r="A106" s="44" t="s">
        <v>295</v>
      </c>
      <c r="B106" s="44"/>
      <c r="C106" s="35">
        <v>45228</v>
      </c>
      <c r="D106" s="35">
        <v>45203</v>
      </c>
      <c r="E106" s="4"/>
      <c r="F106" s="40"/>
      <c r="G106" s="40"/>
      <c r="H106" s="5">
        <v>13.31</v>
      </c>
      <c r="I106" s="102">
        <f>27/30*5</f>
        <v>4.5</v>
      </c>
      <c r="J106" s="40">
        <v>45</v>
      </c>
      <c r="K106" s="40"/>
      <c r="L106" s="6">
        <v>80</v>
      </c>
      <c r="M106" s="6">
        <v>27</v>
      </c>
      <c r="N106" s="59">
        <f>(L106-M106)*0.7</f>
        <v>37.099999999999994</v>
      </c>
    </row>
    <row r="107" spans="1:16">
      <c r="A107" s="44" t="s">
        <v>320</v>
      </c>
      <c r="B107" s="44"/>
      <c r="C107" s="35">
        <v>45177</v>
      </c>
      <c r="D107" s="35">
        <v>45196</v>
      </c>
      <c r="E107" s="4"/>
      <c r="F107" s="40"/>
      <c r="G107" s="40"/>
      <c r="H107" s="5">
        <v>10.44</v>
      </c>
      <c r="I107" s="102">
        <f>38/30*21</f>
        <v>26.599999999999998</v>
      </c>
      <c r="J107" s="40"/>
      <c r="K107" s="40"/>
      <c r="L107" s="6">
        <v>69</v>
      </c>
      <c r="M107" s="6">
        <v>38</v>
      </c>
      <c r="N107" s="59">
        <f>(69-38)*0.7</f>
        <v>21.7</v>
      </c>
    </row>
    <row r="108" spans="1:16">
      <c r="A108" s="44" t="s">
        <v>325</v>
      </c>
      <c r="B108" s="44"/>
      <c r="C108" s="35"/>
      <c r="D108" s="35">
        <v>45223</v>
      </c>
      <c r="E108" s="4">
        <v>45239</v>
      </c>
      <c r="F108" s="40"/>
      <c r="G108" s="40"/>
      <c r="H108" s="5">
        <v>40</v>
      </c>
      <c r="I108" s="102">
        <f>43/30*15</f>
        <v>21.5</v>
      </c>
      <c r="J108" s="40"/>
      <c r="K108" s="40"/>
      <c r="L108" s="6">
        <v>69</v>
      </c>
      <c r="M108" s="6">
        <v>43</v>
      </c>
      <c r="N108" s="94">
        <f>(69-43)*0.7</f>
        <v>18.2</v>
      </c>
      <c r="O108" s="72" t="s">
        <v>329</v>
      </c>
      <c r="P108" s="72">
        <v>12.74</v>
      </c>
    </row>
    <row r="109" spans="1:16">
      <c r="A109" s="44" t="s">
        <v>326</v>
      </c>
      <c r="B109" s="44"/>
      <c r="C109" s="35"/>
      <c r="D109" s="35">
        <v>45188</v>
      </c>
      <c r="E109" s="4">
        <v>45209</v>
      </c>
      <c r="F109" s="40"/>
      <c r="G109" s="40"/>
      <c r="H109" s="5">
        <v>11.48</v>
      </c>
      <c r="I109" s="102"/>
      <c r="J109" s="40"/>
      <c r="K109" s="40"/>
      <c r="L109" s="6">
        <v>59</v>
      </c>
      <c r="M109" s="6">
        <v>38</v>
      </c>
      <c r="N109" s="59">
        <f>(L109-M109)*0.7</f>
        <v>14.7</v>
      </c>
    </row>
    <row r="110" spans="1:16">
      <c r="A110" s="44" t="s">
        <v>108</v>
      </c>
      <c r="B110" s="44"/>
      <c r="C110" s="35"/>
      <c r="D110" s="35">
        <v>45231</v>
      </c>
      <c r="E110" s="4">
        <v>45231</v>
      </c>
      <c r="F110" s="40"/>
      <c r="G110" s="40"/>
      <c r="H110" s="5"/>
      <c r="I110" s="102"/>
      <c r="J110" s="40"/>
      <c r="K110" s="40"/>
      <c r="L110" s="6">
        <v>69</v>
      </c>
      <c r="M110" s="6">
        <v>43</v>
      </c>
      <c r="N110" s="59">
        <f>(L110-M110)*0.7</f>
        <v>18.2</v>
      </c>
    </row>
    <row r="111" spans="1:16">
      <c r="A111" s="44" t="s">
        <v>327</v>
      </c>
      <c r="B111" s="44"/>
      <c r="C111" s="35"/>
      <c r="D111" s="35"/>
      <c r="E111" s="4">
        <v>45127</v>
      </c>
      <c r="F111" s="40"/>
      <c r="G111" s="40"/>
      <c r="H111" s="5">
        <v>11.48</v>
      </c>
      <c r="I111" s="102"/>
      <c r="J111" s="40"/>
      <c r="K111" s="40"/>
      <c r="L111" s="6">
        <v>25</v>
      </c>
      <c r="M111" s="6">
        <v>9</v>
      </c>
      <c r="N111" s="59">
        <f>(L111-M111)*0.7</f>
        <v>11.2</v>
      </c>
    </row>
    <row r="112" spans="1:16">
      <c r="A112" s="44" t="s">
        <v>336</v>
      </c>
      <c r="B112" s="44"/>
      <c r="C112" s="35"/>
      <c r="D112" s="35">
        <v>45278</v>
      </c>
      <c r="E112" s="4">
        <v>45278</v>
      </c>
      <c r="F112" s="40"/>
      <c r="G112" s="40"/>
      <c r="H112" s="5"/>
      <c r="I112" s="102"/>
      <c r="J112" s="40"/>
      <c r="K112" s="40"/>
      <c r="L112" s="6">
        <v>69</v>
      </c>
      <c r="M112" s="6">
        <v>43</v>
      </c>
      <c r="N112" s="59">
        <f>(69-43)*0.7/30*42</f>
        <v>25.48</v>
      </c>
    </row>
    <row r="113" spans="1:15">
      <c r="A113" s="44" t="s">
        <v>337</v>
      </c>
      <c r="B113" s="44"/>
      <c r="C113" s="35">
        <v>45342</v>
      </c>
      <c r="D113" s="35">
        <v>44977</v>
      </c>
      <c r="E113" s="4">
        <v>45342</v>
      </c>
      <c r="F113" s="40"/>
      <c r="G113" s="40"/>
      <c r="H113" s="5">
        <v>13.78</v>
      </c>
      <c r="I113" s="102"/>
      <c r="J113" s="40">
        <f>45+50</f>
        <v>95</v>
      </c>
      <c r="K113" s="40"/>
      <c r="L113" s="6">
        <v>100</v>
      </c>
      <c r="M113" s="6">
        <v>38.5</v>
      </c>
      <c r="N113" s="59">
        <f t="shared" ref="N113:N128" si="2">(L113-M113)*0.7</f>
        <v>43.05</v>
      </c>
    </row>
    <row r="114" spans="1:15">
      <c r="A114" s="44" t="s">
        <v>338</v>
      </c>
      <c r="B114" s="44"/>
      <c r="C114" s="35">
        <v>45271</v>
      </c>
      <c r="D114" s="35"/>
      <c r="E114" s="4">
        <v>45301</v>
      </c>
      <c r="F114" s="40"/>
      <c r="G114" s="40"/>
      <c r="H114" s="5">
        <v>14.26</v>
      </c>
      <c r="I114" s="102">
        <f>25/30*29</f>
        <v>24.166666666666668</v>
      </c>
      <c r="J114" s="40">
        <f>30+50</f>
        <v>80</v>
      </c>
      <c r="K114" s="40"/>
      <c r="L114" s="6">
        <v>80</v>
      </c>
      <c r="M114" s="6">
        <v>29</v>
      </c>
      <c r="N114" s="59">
        <f t="shared" si="2"/>
        <v>35.699999999999996</v>
      </c>
      <c r="O114" t="s">
        <v>339</v>
      </c>
    </row>
    <row r="115" spans="1:15">
      <c r="A115" s="44" t="s">
        <v>333</v>
      </c>
      <c r="B115" s="44"/>
      <c r="C115" s="35"/>
      <c r="D115" s="35"/>
      <c r="E115" s="4">
        <v>45336</v>
      </c>
      <c r="F115" s="40"/>
      <c r="G115" s="40"/>
      <c r="H115" s="5">
        <v>10</v>
      </c>
      <c r="I115" s="102">
        <v>0</v>
      </c>
      <c r="J115" s="40">
        <v>120</v>
      </c>
      <c r="K115" s="40"/>
      <c r="L115" s="6">
        <v>160</v>
      </c>
      <c r="M115" s="6">
        <v>72</v>
      </c>
      <c r="N115" s="59">
        <f t="shared" si="2"/>
        <v>61.599999999999994</v>
      </c>
    </row>
    <row r="116" spans="1:15">
      <c r="A116" s="44" t="s">
        <v>343</v>
      </c>
      <c r="B116" s="44"/>
      <c r="C116" s="35"/>
      <c r="D116" s="35"/>
      <c r="E116" s="4">
        <v>45336</v>
      </c>
      <c r="F116" s="40"/>
      <c r="G116" s="40"/>
      <c r="H116" s="5">
        <v>10.92</v>
      </c>
      <c r="I116" s="102"/>
      <c r="J116" s="40"/>
      <c r="K116" s="40"/>
      <c r="L116" s="6">
        <v>59</v>
      </c>
      <c r="M116" s="6">
        <v>38</v>
      </c>
      <c r="N116" s="59">
        <f t="shared" si="2"/>
        <v>14.7</v>
      </c>
    </row>
    <row r="117" spans="1:15">
      <c r="A117" s="44" t="s">
        <v>381</v>
      </c>
      <c r="B117" s="44"/>
      <c r="C117" s="35"/>
      <c r="D117" s="35">
        <v>45323</v>
      </c>
      <c r="E117" s="4">
        <v>45323</v>
      </c>
      <c r="F117" s="40"/>
      <c r="G117" s="40"/>
      <c r="H117" s="5">
        <v>10.92</v>
      </c>
      <c r="I117" s="102"/>
      <c r="J117" s="40"/>
      <c r="K117" s="40"/>
      <c r="L117" s="6">
        <v>59</v>
      </c>
      <c r="M117" s="6">
        <v>38</v>
      </c>
      <c r="N117" s="59">
        <f t="shared" si="2"/>
        <v>14.7</v>
      </c>
    </row>
    <row r="118" spans="1:15">
      <c r="A118" s="44" t="s">
        <v>345</v>
      </c>
      <c r="B118" s="44"/>
      <c r="C118" s="35"/>
      <c r="D118" s="35"/>
      <c r="E118" s="4">
        <v>45345</v>
      </c>
      <c r="F118" s="40"/>
      <c r="G118" s="40"/>
      <c r="H118" s="5">
        <v>24.2</v>
      </c>
      <c r="I118" s="102"/>
      <c r="J118" s="40">
        <v>45</v>
      </c>
      <c r="K118" s="40"/>
      <c r="L118" s="6">
        <v>90</v>
      </c>
      <c r="M118" s="6">
        <f>7+9</f>
        <v>16</v>
      </c>
      <c r="N118" s="59">
        <f t="shared" si="2"/>
        <v>51.8</v>
      </c>
    </row>
    <row r="119" spans="1:15">
      <c r="A119" s="44" t="s">
        <v>346</v>
      </c>
      <c r="B119" s="44"/>
      <c r="C119" s="35"/>
      <c r="D119" s="35"/>
      <c r="E119" s="4">
        <v>45334</v>
      </c>
      <c r="F119" s="40"/>
      <c r="G119" s="40"/>
      <c r="H119" s="5">
        <v>12.01</v>
      </c>
      <c r="I119" s="102"/>
      <c r="J119" s="40">
        <v>15</v>
      </c>
      <c r="K119" s="40"/>
      <c r="L119" s="6">
        <v>20</v>
      </c>
      <c r="M119" s="6">
        <v>9</v>
      </c>
      <c r="N119" s="70">
        <f t="shared" si="2"/>
        <v>7.6999999999999993</v>
      </c>
    </row>
    <row r="120" spans="1:15">
      <c r="A120" s="44" t="s">
        <v>361</v>
      </c>
      <c r="B120" s="44"/>
      <c r="C120" s="35"/>
      <c r="D120" s="35">
        <v>45366</v>
      </c>
      <c r="E120" s="4">
        <v>45385</v>
      </c>
      <c r="F120" s="40"/>
      <c r="G120" s="40"/>
      <c r="H120" s="5"/>
      <c r="I120" s="102">
        <f>69/30*18</f>
        <v>41.4</v>
      </c>
      <c r="J120" s="40"/>
      <c r="K120" s="40"/>
      <c r="L120" s="6">
        <v>69</v>
      </c>
      <c r="M120" s="6">
        <v>43</v>
      </c>
      <c r="N120" s="70">
        <f t="shared" si="2"/>
        <v>18.2</v>
      </c>
    </row>
    <row r="121" spans="1:15">
      <c r="A121" s="44" t="s">
        <v>365</v>
      </c>
      <c r="B121" s="44"/>
      <c r="C121" s="35"/>
      <c r="D121" s="35">
        <v>45450</v>
      </c>
      <c r="E121" s="4">
        <v>45456</v>
      </c>
      <c r="F121" s="40"/>
      <c r="G121" s="40"/>
      <c r="H121" s="5"/>
      <c r="I121" s="102">
        <f>47/30*5</f>
        <v>7.833333333333333</v>
      </c>
      <c r="J121" s="40"/>
      <c r="K121" s="40"/>
      <c r="L121" s="6">
        <v>69</v>
      </c>
      <c r="M121" s="6">
        <v>47</v>
      </c>
      <c r="N121" s="59">
        <f t="shared" si="2"/>
        <v>15.399999999999999</v>
      </c>
    </row>
    <row r="122" spans="1:15">
      <c r="A122" s="44" t="s">
        <v>358</v>
      </c>
      <c r="B122" s="44"/>
      <c r="C122" s="35"/>
      <c r="D122" s="35">
        <v>45468</v>
      </c>
      <c r="E122" s="4">
        <v>45468</v>
      </c>
      <c r="F122" s="40"/>
      <c r="G122" s="40"/>
      <c r="H122" s="5">
        <v>12.01</v>
      </c>
      <c r="I122" s="102"/>
      <c r="J122" s="40"/>
      <c r="K122" s="40"/>
      <c r="L122" s="6">
        <v>59</v>
      </c>
      <c r="M122" s="6">
        <v>38</v>
      </c>
      <c r="N122" s="59">
        <f t="shared" si="2"/>
        <v>14.7</v>
      </c>
    </row>
    <row r="123" spans="1:15">
      <c r="A123" s="44" t="s">
        <v>218</v>
      </c>
      <c r="B123" s="44"/>
      <c r="C123" s="35"/>
      <c r="D123" s="35">
        <v>45456</v>
      </c>
      <c r="E123" s="4">
        <v>45456</v>
      </c>
      <c r="F123" s="40"/>
      <c r="G123" s="40"/>
      <c r="H123" s="5">
        <v>10</v>
      </c>
      <c r="I123" s="102"/>
      <c r="J123" s="40">
        <v>45</v>
      </c>
      <c r="K123" s="40"/>
      <c r="L123" s="6">
        <v>80</v>
      </c>
      <c r="M123" s="6">
        <v>27</v>
      </c>
      <c r="N123" s="59">
        <f t="shared" si="2"/>
        <v>37.099999999999994</v>
      </c>
    </row>
    <row r="124" spans="1:15">
      <c r="A124" s="44" t="s">
        <v>366</v>
      </c>
      <c r="B124" s="44"/>
      <c r="C124" s="35"/>
      <c r="D124" s="35">
        <v>45454</v>
      </c>
      <c r="E124" s="4"/>
      <c r="F124" s="40"/>
      <c r="G124" s="40"/>
      <c r="H124" s="5"/>
      <c r="I124" s="102"/>
      <c r="J124" s="40"/>
      <c r="K124" s="40"/>
      <c r="L124" s="6">
        <v>59</v>
      </c>
      <c r="M124" s="6">
        <v>38</v>
      </c>
      <c r="N124" s="59">
        <f t="shared" si="2"/>
        <v>14.7</v>
      </c>
    </row>
    <row r="125" spans="1:15">
      <c r="A125" s="44" t="s">
        <v>64</v>
      </c>
      <c r="B125" s="44"/>
      <c r="C125" s="35"/>
      <c r="D125" s="35">
        <v>45469</v>
      </c>
      <c r="E125" s="4">
        <v>45469</v>
      </c>
      <c r="F125" s="40"/>
      <c r="G125" s="40"/>
      <c r="H125" s="5"/>
      <c r="I125" s="102"/>
      <c r="J125" s="40"/>
      <c r="K125" s="40"/>
      <c r="L125" s="6">
        <v>100</v>
      </c>
      <c r="M125" s="18">
        <v>5</v>
      </c>
      <c r="N125" s="59">
        <f t="shared" si="2"/>
        <v>66.5</v>
      </c>
    </row>
    <row r="126" spans="1:15">
      <c r="A126" s="44" t="s">
        <v>369</v>
      </c>
      <c r="B126" s="44"/>
      <c r="C126" s="35"/>
      <c r="D126" s="35">
        <v>45464</v>
      </c>
      <c r="E126" s="4">
        <v>41811</v>
      </c>
      <c r="F126" s="40"/>
      <c r="G126" s="40"/>
      <c r="H126" s="5">
        <v>24.98</v>
      </c>
      <c r="I126" s="102"/>
      <c r="J126" s="40">
        <v>15</v>
      </c>
      <c r="K126" s="40"/>
      <c r="L126" s="6">
        <v>80</v>
      </c>
      <c r="M126" s="6">
        <v>42.5</v>
      </c>
      <c r="N126" s="59">
        <f t="shared" si="2"/>
        <v>26.25</v>
      </c>
    </row>
    <row r="127" spans="1:15">
      <c r="A127" s="44" t="s">
        <v>370</v>
      </c>
      <c r="B127" s="44"/>
      <c r="C127" s="35"/>
      <c r="D127" s="35">
        <v>45444</v>
      </c>
      <c r="E127" s="4">
        <v>41791</v>
      </c>
      <c r="F127" s="40"/>
      <c r="G127" s="40"/>
      <c r="H127" s="5">
        <v>12.98</v>
      </c>
      <c r="I127" s="102"/>
      <c r="J127" s="40">
        <v>30</v>
      </c>
      <c r="K127" s="40"/>
      <c r="L127" s="6">
        <v>65</v>
      </c>
      <c r="M127" s="6">
        <v>18</v>
      </c>
      <c r="N127" s="59">
        <f t="shared" si="2"/>
        <v>32.9</v>
      </c>
    </row>
    <row r="128" spans="1:15">
      <c r="A128" s="44" t="s">
        <v>375</v>
      </c>
      <c r="B128" s="44"/>
      <c r="C128" s="35"/>
      <c r="D128" s="35">
        <v>45471</v>
      </c>
      <c r="E128" s="35">
        <v>45471</v>
      </c>
      <c r="F128" s="40"/>
      <c r="G128" s="40"/>
      <c r="H128" s="5">
        <f>10+12.01</f>
        <v>22.009999999999998</v>
      </c>
      <c r="I128" s="102"/>
      <c r="J128" s="40">
        <v>30</v>
      </c>
      <c r="K128" s="40"/>
      <c r="L128" s="6">
        <v>90</v>
      </c>
      <c r="M128" s="18">
        <f>38.5+1+18</f>
        <v>57.5</v>
      </c>
      <c r="N128" s="70">
        <f t="shared" si="2"/>
        <v>22.75</v>
      </c>
    </row>
    <row r="129" spans="1:16">
      <c r="A129" s="44" t="s">
        <v>83</v>
      </c>
      <c r="B129" s="44"/>
      <c r="C129" s="35"/>
      <c r="D129" s="35">
        <v>45482</v>
      </c>
      <c r="E129" s="35">
        <v>45482</v>
      </c>
      <c r="F129" s="40"/>
      <c r="G129" s="40"/>
      <c r="H129" s="5"/>
      <c r="I129" s="102"/>
      <c r="J129" s="40"/>
      <c r="K129" s="40"/>
      <c r="L129" s="6">
        <v>69</v>
      </c>
      <c r="M129" s="18">
        <v>43</v>
      </c>
      <c r="N129" s="70">
        <f>(L129-M129)*0.7</f>
        <v>18.2</v>
      </c>
    </row>
    <row r="130" spans="1:16">
      <c r="A130" s="44" t="s">
        <v>383</v>
      </c>
      <c r="B130" s="44"/>
      <c r="C130" s="35"/>
      <c r="D130" s="35">
        <v>45434</v>
      </c>
      <c r="E130" s="35">
        <v>45513</v>
      </c>
      <c r="F130" s="40"/>
      <c r="G130" s="40"/>
      <c r="H130" s="5">
        <v>14.58</v>
      </c>
      <c r="I130" s="102"/>
      <c r="J130" s="40"/>
      <c r="K130" s="40"/>
      <c r="L130" s="6">
        <v>69</v>
      </c>
      <c r="M130" s="18">
        <v>43</v>
      </c>
      <c r="N130" s="70">
        <f>(L130-M130)*0.7</f>
        <v>18.2</v>
      </c>
    </row>
    <row r="131" spans="1:16">
      <c r="A131" s="10" t="s">
        <v>384</v>
      </c>
      <c r="B131" s="44"/>
      <c r="C131" s="35"/>
      <c r="D131" s="35"/>
      <c r="E131" s="35">
        <v>45513</v>
      </c>
      <c r="F131" s="40"/>
      <c r="G131" s="40"/>
      <c r="H131" s="5"/>
      <c r="I131" s="102"/>
      <c r="J131" s="40">
        <v>60</v>
      </c>
      <c r="K131" s="40"/>
      <c r="L131" s="6">
        <v>105</v>
      </c>
      <c r="M131" s="6">
        <v>36</v>
      </c>
      <c r="N131" s="70">
        <f>(L131-M131)*0.7/30*21</f>
        <v>33.809999999999995</v>
      </c>
    </row>
    <row r="132" spans="1:16">
      <c r="C132" s="36"/>
      <c r="D132" s="36"/>
      <c r="F132" s="28"/>
      <c r="G132" s="28"/>
      <c r="H132" s="30"/>
      <c r="I132" s="104"/>
      <c r="M132" s="62" t="s">
        <v>4</v>
      </c>
      <c r="N132" s="18">
        <f>SUM(N2:N131)</f>
        <v>4690.3899999999985</v>
      </c>
    </row>
    <row r="133" spans="1:16">
      <c r="C133" s="36"/>
      <c r="D133" s="36"/>
      <c r="F133" s="28"/>
      <c r="G133" s="28"/>
      <c r="H133" s="30"/>
      <c r="I133" s="104"/>
      <c r="M133" s="61" t="s">
        <v>251</v>
      </c>
      <c r="N133" s="6">
        <f>N132-J131+N146</f>
        <v>4222.6099999999988</v>
      </c>
    </row>
    <row r="134" spans="1:16">
      <c r="C134" s="36"/>
      <c r="D134" s="36"/>
      <c r="F134" s="28"/>
      <c r="G134" s="28"/>
      <c r="H134" s="30"/>
      <c r="I134" s="104"/>
    </row>
    <row r="136" spans="1:16">
      <c r="A136" s="28"/>
      <c r="B136" s="28"/>
      <c r="E136" s="15"/>
      <c r="F136" s="1"/>
      <c r="G136" s="1"/>
      <c r="H136" s="1"/>
      <c r="J136" s="1"/>
      <c r="K136" s="1"/>
      <c r="L136" s="1"/>
      <c r="M136" s="1"/>
      <c r="N136" s="29"/>
    </row>
    <row r="137" spans="1:16">
      <c r="L137" s="1"/>
      <c r="M137" s="1"/>
    </row>
    <row r="138" spans="1:16">
      <c r="H138" s="30"/>
      <c r="L138" s="1"/>
      <c r="M138"/>
    </row>
    <row r="139" spans="1:16">
      <c r="M139"/>
      <c r="P139" s="42"/>
    </row>
    <row r="140" spans="1:16">
      <c r="L140" s="1"/>
    </row>
    <row r="141" spans="1:16">
      <c r="L141" s="1" t="s">
        <v>378</v>
      </c>
      <c r="N141">
        <v>-145</v>
      </c>
      <c r="P141" s="42"/>
    </row>
    <row r="142" spans="1:16">
      <c r="L142" s="1" t="s">
        <v>379</v>
      </c>
      <c r="M142" s="66" t="s">
        <v>380</v>
      </c>
      <c r="N142">
        <v>-49</v>
      </c>
    </row>
    <row r="143" spans="1:16">
      <c r="L143" s="1" t="s">
        <v>382</v>
      </c>
      <c r="N143">
        <v>-13.01</v>
      </c>
      <c r="P143" s="42"/>
    </row>
    <row r="144" spans="1:16">
      <c r="L144" s="1" t="s">
        <v>385</v>
      </c>
      <c r="N144">
        <v>-125.77</v>
      </c>
    </row>
    <row r="145" spans="12:14">
      <c r="L145" s="1" t="s">
        <v>386</v>
      </c>
      <c r="N145">
        <v>-75</v>
      </c>
    </row>
    <row r="146" spans="12:14">
      <c r="N146">
        <f>SUM(N141:N145)</f>
        <v>-407.78</v>
      </c>
    </row>
  </sheetData>
  <autoFilter ref="A1:P133">
    <sortState ref="A2:P97">
      <sortCondition ref="B1:B97"/>
    </sortState>
  </autoFilter>
  <pageMargins left="0.7" right="0.7" top="0.75" bottom="0.75" header="0.3" footer="0.3"/>
  <pageSetup paperSize="9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>
  <dimension ref="A1:P146"/>
  <sheetViews>
    <sheetView topLeftCell="C122" workbookViewId="0">
      <selection activeCell="D137" sqref="D137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2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44</v>
      </c>
      <c r="B19" s="2"/>
      <c r="C19" s="4">
        <v>43196</v>
      </c>
      <c r="D19" s="4"/>
      <c r="E19" s="4">
        <v>43250</v>
      </c>
      <c r="F19" s="5"/>
      <c r="G19" s="49"/>
      <c r="H19" s="5">
        <v>13.78</v>
      </c>
      <c r="I19" s="102">
        <f>25*24/30+25</f>
        <v>45</v>
      </c>
      <c r="J19" s="5"/>
      <c r="K19" s="5"/>
      <c r="L19" s="6">
        <v>11</v>
      </c>
      <c r="M19" s="61">
        <v>25</v>
      </c>
      <c r="N19" s="6">
        <v>9.7999999999999989</v>
      </c>
    </row>
    <row r="20" spans="1:15">
      <c r="A20" s="22" t="s">
        <v>47</v>
      </c>
      <c r="B20" s="22"/>
      <c r="C20" s="4">
        <v>43355</v>
      </c>
      <c r="D20" s="4"/>
      <c r="E20" s="4">
        <v>43277</v>
      </c>
      <c r="F20" s="5"/>
      <c r="G20" s="49"/>
      <c r="H20" s="5">
        <v>19.98</v>
      </c>
      <c r="I20" s="102">
        <f>36*2+36/30*16</f>
        <v>91.2</v>
      </c>
      <c r="J20" s="5"/>
      <c r="K20" s="5"/>
      <c r="L20" s="6">
        <v>105</v>
      </c>
      <c r="M20" s="61">
        <v>36</v>
      </c>
      <c r="N20" s="6">
        <f t="shared" si="0"/>
        <v>48.3</v>
      </c>
    </row>
    <row r="21" spans="1:15">
      <c r="A21" s="22" t="s">
        <v>48</v>
      </c>
      <c r="B21" s="22"/>
      <c r="C21" s="4">
        <v>43367</v>
      </c>
      <c r="D21" s="4"/>
      <c r="E21" s="4">
        <v>43284</v>
      </c>
      <c r="F21" s="5"/>
      <c r="G21" s="49"/>
      <c r="H21" s="5">
        <v>9.1</v>
      </c>
      <c r="I21" s="102">
        <f>25+25/30*27</f>
        <v>47.5</v>
      </c>
      <c r="J21" s="5"/>
      <c r="K21" s="5"/>
      <c r="L21" s="6">
        <v>75</v>
      </c>
      <c r="M21" s="61">
        <v>25</v>
      </c>
      <c r="N21" s="6">
        <f t="shared" si="0"/>
        <v>35</v>
      </c>
    </row>
    <row r="22" spans="1:15">
      <c r="A22" s="2" t="s">
        <v>45</v>
      </c>
      <c r="B22" s="2"/>
      <c r="C22" s="4"/>
      <c r="D22" s="4"/>
      <c r="E22" s="4">
        <v>43286</v>
      </c>
      <c r="F22" s="5"/>
      <c r="G22" s="49"/>
      <c r="H22" s="5">
        <v>11.56</v>
      </c>
      <c r="I22" s="102"/>
      <c r="J22" s="5"/>
      <c r="K22" s="5"/>
      <c r="L22" s="6">
        <v>150</v>
      </c>
      <c r="M22" s="61">
        <v>76</v>
      </c>
      <c r="N22" s="6">
        <f t="shared" si="0"/>
        <v>51.8</v>
      </c>
      <c r="O22" s="20"/>
    </row>
    <row r="23" spans="1:15">
      <c r="A23" s="22" t="s">
        <v>49</v>
      </c>
      <c r="B23" s="22"/>
      <c r="C23" s="4">
        <v>43367</v>
      </c>
      <c r="D23" s="4"/>
      <c r="E23" s="4">
        <v>43291</v>
      </c>
      <c r="F23" s="5"/>
      <c r="G23" s="49"/>
      <c r="H23" s="5">
        <v>10.039999999999999</v>
      </c>
      <c r="I23" s="102">
        <f>50+25/30*14</f>
        <v>61.666666666666671</v>
      </c>
      <c r="J23" s="5"/>
      <c r="K23" s="5"/>
      <c r="L23" s="6">
        <v>50</v>
      </c>
      <c r="M23" s="61">
        <v>22</v>
      </c>
      <c r="N23" s="18">
        <f t="shared" si="0"/>
        <v>19.599999999999998</v>
      </c>
    </row>
    <row r="24" spans="1:15">
      <c r="A24" s="22" t="s">
        <v>51</v>
      </c>
      <c r="B24" s="22"/>
      <c r="C24" s="4">
        <v>43358</v>
      </c>
      <c r="D24" s="4"/>
      <c r="E24" s="4">
        <v>43291</v>
      </c>
      <c r="F24" s="5"/>
      <c r="G24" s="49"/>
      <c r="H24" s="5">
        <v>10.039999999999999</v>
      </c>
      <c r="I24" s="102">
        <f>50+25/30*5</f>
        <v>54.166666666666664</v>
      </c>
      <c r="J24" s="5"/>
      <c r="K24" s="5"/>
      <c r="L24" s="6">
        <v>75</v>
      </c>
      <c r="M24" s="61">
        <v>25</v>
      </c>
      <c r="N24" s="6">
        <f t="shared" si="0"/>
        <v>35</v>
      </c>
    </row>
    <row r="25" spans="1:15">
      <c r="A25" s="22" t="s">
        <v>52</v>
      </c>
      <c r="B25" s="22"/>
      <c r="C25" s="4">
        <v>43367</v>
      </c>
      <c r="D25" s="4"/>
      <c r="E25" s="4">
        <v>43308</v>
      </c>
      <c r="F25" s="5"/>
      <c r="G25" s="49"/>
      <c r="H25" s="5">
        <v>10.86</v>
      </c>
      <c r="I25" s="102">
        <f>25+25/30*27</f>
        <v>47.5</v>
      </c>
      <c r="J25" s="5"/>
      <c r="K25" s="5"/>
      <c r="L25" s="6">
        <v>75</v>
      </c>
      <c r="M25" s="61">
        <v>25</v>
      </c>
      <c r="N25" s="27">
        <f t="shared" si="0"/>
        <v>35</v>
      </c>
    </row>
    <row r="26" spans="1:15">
      <c r="A26" s="22" t="s">
        <v>50</v>
      </c>
      <c r="B26" s="22"/>
      <c r="C26" s="4">
        <v>43367</v>
      </c>
      <c r="D26" s="4"/>
      <c r="E26" s="4">
        <v>43312</v>
      </c>
      <c r="F26" s="5"/>
      <c r="G26" s="49"/>
      <c r="H26" s="5">
        <v>10.86</v>
      </c>
      <c r="I26" s="102">
        <f>25+25/30*24</f>
        <v>45</v>
      </c>
      <c r="J26" s="5"/>
      <c r="K26" s="5"/>
      <c r="L26" s="6">
        <v>70</v>
      </c>
      <c r="M26" s="61">
        <v>25</v>
      </c>
      <c r="N26" s="6">
        <f t="shared" si="0"/>
        <v>31.499999999999996</v>
      </c>
    </row>
    <row r="27" spans="1:15">
      <c r="A27" s="22" t="s">
        <v>55</v>
      </c>
      <c r="B27" s="22"/>
      <c r="C27" s="4">
        <v>43363</v>
      </c>
      <c r="D27" s="4"/>
      <c r="E27" s="4">
        <v>43440</v>
      </c>
      <c r="F27" s="5"/>
      <c r="G27" s="49"/>
      <c r="H27" s="5">
        <v>14.11</v>
      </c>
      <c r="I27" s="102">
        <f>25*2+25*16/30</f>
        <v>63.333333333333336</v>
      </c>
      <c r="J27" s="5"/>
      <c r="K27" s="5"/>
      <c r="L27" s="6">
        <v>75</v>
      </c>
      <c r="M27" s="61">
        <v>25</v>
      </c>
      <c r="N27" s="6">
        <f t="shared" si="0"/>
        <v>35</v>
      </c>
    </row>
    <row r="28" spans="1:15">
      <c r="A28" s="22" t="s">
        <v>54</v>
      </c>
      <c r="B28" s="22"/>
      <c r="C28" s="4">
        <v>43167</v>
      </c>
      <c r="D28" s="4"/>
      <c r="E28" s="4">
        <v>43455</v>
      </c>
      <c r="F28" s="5"/>
      <c r="G28" s="49"/>
      <c r="H28" s="5">
        <v>10.86</v>
      </c>
      <c r="I28" s="102">
        <f>9*25+25*13/30</f>
        <v>235.83333333333334</v>
      </c>
      <c r="J28" s="5"/>
      <c r="K28" s="5"/>
      <c r="L28" s="6">
        <v>90</v>
      </c>
      <c r="M28" s="61">
        <v>36</v>
      </c>
      <c r="N28" s="6">
        <f t="shared" si="0"/>
        <v>37.799999999999997</v>
      </c>
    </row>
    <row r="29" spans="1:15">
      <c r="A29" s="22" t="s">
        <v>57</v>
      </c>
      <c r="B29" s="55"/>
      <c r="C29" s="31">
        <v>43478</v>
      </c>
      <c r="D29" s="31"/>
      <c r="E29" s="4">
        <v>43536</v>
      </c>
      <c r="F29" s="5"/>
      <c r="G29" s="49"/>
      <c r="H29" s="5">
        <v>10.86</v>
      </c>
      <c r="I29" s="102">
        <v>25</v>
      </c>
      <c r="J29" s="5"/>
      <c r="K29" s="5"/>
      <c r="L29" s="6">
        <v>70</v>
      </c>
      <c r="M29" s="61">
        <v>25</v>
      </c>
      <c r="N29" s="6">
        <f t="shared" si="0"/>
        <v>31.499999999999996</v>
      </c>
    </row>
    <row r="30" spans="1:15">
      <c r="A30" s="22" t="s">
        <v>59</v>
      </c>
      <c r="B30" s="22"/>
      <c r="C30" s="4">
        <v>43528</v>
      </c>
      <c r="D30" s="4"/>
      <c r="E30" s="4">
        <v>43538</v>
      </c>
      <c r="F30" s="5"/>
      <c r="G30" s="49"/>
      <c r="H30" s="5">
        <v>14.92</v>
      </c>
      <c r="I30" s="102">
        <f>77/30*10</f>
        <v>25.666666666666668</v>
      </c>
      <c r="J30" s="5"/>
      <c r="K30" s="5"/>
      <c r="L30" s="6">
        <v>169</v>
      </c>
      <c r="M30" s="61">
        <f>64+11+2</f>
        <v>77</v>
      </c>
      <c r="N30" s="6">
        <f t="shared" si="0"/>
        <v>64.399999999999991</v>
      </c>
    </row>
    <row r="31" spans="1:15">
      <c r="A31" s="22" t="s">
        <v>58</v>
      </c>
      <c r="B31" s="22"/>
      <c r="C31" s="4">
        <v>43534</v>
      </c>
      <c r="D31" s="4"/>
      <c r="E31" s="4">
        <v>43542</v>
      </c>
      <c r="F31" s="5"/>
      <c r="G31" s="49"/>
      <c r="H31" s="5">
        <f>10.86*2</f>
        <v>21.72</v>
      </c>
      <c r="I31" s="102">
        <v>0</v>
      </c>
      <c r="J31" s="5"/>
      <c r="K31" s="5"/>
      <c r="L31" s="6">
        <v>60</v>
      </c>
      <c r="M31" s="61">
        <v>33</v>
      </c>
      <c r="N31" s="6">
        <v>18.899999999999999</v>
      </c>
    </row>
    <row r="32" spans="1:15">
      <c r="A32" s="22" t="s">
        <v>61</v>
      </c>
      <c r="B32" s="22"/>
      <c r="C32" s="4">
        <v>43482</v>
      </c>
      <c r="D32" s="4"/>
      <c r="E32" s="4">
        <v>43542</v>
      </c>
      <c r="F32" s="5"/>
      <c r="G32" s="49"/>
      <c r="H32" s="5">
        <v>11.1</v>
      </c>
      <c r="I32" s="102">
        <f>25*2</f>
        <v>50</v>
      </c>
      <c r="J32" s="5"/>
      <c r="K32" s="5"/>
      <c r="L32" s="6">
        <v>70</v>
      </c>
      <c r="M32" s="61">
        <v>26</v>
      </c>
      <c r="N32" s="6">
        <f t="shared" si="0"/>
        <v>30.799999999999997</v>
      </c>
    </row>
    <row r="33" spans="1:16">
      <c r="A33" s="22" t="s">
        <v>67</v>
      </c>
      <c r="B33" s="22"/>
      <c r="C33" s="4">
        <v>43600</v>
      </c>
      <c r="D33" s="4"/>
      <c r="E33" s="4">
        <v>43629</v>
      </c>
      <c r="F33" s="5"/>
      <c r="G33" s="49"/>
      <c r="H33" s="5">
        <f>10.86*2</f>
        <v>21.72</v>
      </c>
      <c r="I33" s="102">
        <f>22/30*58</f>
        <v>42.533333333333331</v>
      </c>
      <c r="J33" s="5">
        <v>50</v>
      </c>
      <c r="K33" s="5">
        <f>H33+I33+J33</f>
        <v>114.25333333333333</v>
      </c>
      <c r="L33" s="6">
        <v>60</v>
      </c>
      <c r="M33" s="61">
        <v>25</v>
      </c>
      <c r="N33" s="6">
        <v>0</v>
      </c>
    </row>
    <row r="34" spans="1:16">
      <c r="A34" s="22" t="s">
        <v>66</v>
      </c>
      <c r="B34" s="22"/>
      <c r="C34" s="4">
        <v>43600</v>
      </c>
      <c r="D34" s="4"/>
      <c r="E34" s="4">
        <v>43629</v>
      </c>
      <c r="F34" s="5"/>
      <c r="G34" s="49"/>
      <c r="H34" s="5">
        <f>10.86</f>
        <v>10.86</v>
      </c>
      <c r="I34" s="102">
        <f>39/30*58</f>
        <v>75.400000000000006</v>
      </c>
      <c r="J34" s="5"/>
      <c r="K34" s="5">
        <f>H34+I34</f>
        <v>86.26</v>
      </c>
      <c r="L34" s="6">
        <v>110</v>
      </c>
      <c r="M34" s="61">
        <f>25+11+3</f>
        <v>39</v>
      </c>
      <c r="N34" s="6">
        <v>0</v>
      </c>
      <c r="O34" t="s">
        <v>73</v>
      </c>
    </row>
    <row r="35" spans="1:16">
      <c r="A35" s="22" t="s">
        <v>64</v>
      </c>
      <c r="B35" s="22"/>
      <c r="C35" s="4">
        <v>43627</v>
      </c>
      <c r="D35" s="4"/>
      <c r="E35" s="4">
        <v>43629</v>
      </c>
      <c r="F35" s="5"/>
      <c r="G35" s="49"/>
      <c r="H35" s="5">
        <v>10.86</v>
      </c>
      <c r="I35" s="102">
        <f>25/30*2</f>
        <v>1.6666666666666667</v>
      </c>
      <c r="J35" s="5"/>
      <c r="K35" s="5">
        <f>H35+I35</f>
        <v>12.526666666666666</v>
      </c>
      <c r="L35" s="6">
        <v>200</v>
      </c>
      <c r="M35" s="61">
        <v>11</v>
      </c>
      <c r="N35" s="5">
        <f t="shared" ref="N35:N46" si="1">(L35-M35)*0.7</f>
        <v>132.29999999999998</v>
      </c>
    </row>
    <row r="36" spans="1:16">
      <c r="A36" s="22" t="s">
        <v>65</v>
      </c>
      <c r="B36" s="22"/>
      <c r="C36" s="4">
        <v>43622</v>
      </c>
      <c r="D36" s="4"/>
      <c r="E36" s="4">
        <v>43650</v>
      </c>
      <c r="F36" s="5"/>
      <c r="G36" s="49"/>
      <c r="H36" s="5">
        <v>10.86</v>
      </c>
      <c r="I36" s="102"/>
      <c r="J36" s="5"/>
      <c r="K36" s="5"/>
      <c r="L36" s="6">
        <v>120</v>
      </c>
      <c r="M36" s="61">
        <v>60</v>
      </c>
      <c r="N36" s="6">
        <f t="shared" si="1"/>
        <v>42</v>
      </c>
    </row>
    <row r="37" spans="1:16">
      <c r="A37" s="22" t="s">
        <v>71</v>
      </c>
      <c r="B37" s="22"/>
      <c r="C37" s="4">
        <v>43635</v>
      </c>
      <c r="D37" s="4"/>
      <c r="E37" s="4">
        <v>43662</v>
      </c>
      <c r="F37" s="5"/>
      <c r="G37" s="49"/>
      <c r="H37" s="5">
        <f>10.86*2</f>
        <v>21.72</v>
      </c>
      <c r="I37" s="102"/>
      <c r="J37" s="5"/>
      <c r="K37" s="5"/>
      <c r="L37" s="6">
        <v>70</v>
      </c>
      <c r="M37" s="61">
        <v>26</v>
      </c>
      <c r="N37" s="6">
        <f t="shared" si="1"/>
        <v>30.799999999999997</v>
      </c>
      <c r="O37" t="s">
        <v>72</v>
      </c>
    </row>
    <row r="38" spans="1:16">
      <c r="A38" s="2" t="s">
        <v>75</v>
      </c>
      <c r="B38" s="2"/>
      <c r="C38" s="4">
        <v>43656</v>
      </c>
      <c r="D38" s="4"/>
      <c r="E38" s="4">
        <v>43711</v>
      </c>
      <c r="F38" s="5"/>
      <c r="G38" s="49"/>
      <c r="H38" s="5">
        <v>10.86</v>
      </c>
      <c r="I38" s="102">
        <f>36/30*48</f>
        <v>57.599999999999994</v>
      </c>
      <c r="J38" s="5"/>
      <c r="K38" s="5"/>
      <c r="L38" s="6">
        <v>105</v>
      </c>
      <c r="M38" s="61">
        <v>36</v>
      </c>
      <c r="N38" s="6">
        <f t="shared" si="1"/>
        <v>48.3</v>
      </c>
    </row>
    <row r="39" spans="1:16">
      <c r="A39" s="2" t="s">
        <v>76</v>
      </c>
      <c r="B39" s="2"/>
      <c r="C39" s="4">
        <v>43677</v>
      </c>
      <c r="D39" s="4"/>
      <c r="E39" s="4">
        <v>43713</v>
      </c>
      <c r="F39" s="5"/>
      <c r="G39" s="49"/>
      <c r="H39" s="5">
        <v>24.06</v>
      </c>
      <c r="I39" s="102">
        <f>80/30*35</f>
        <v>93.333333333333329</v>
      </c>
      <c r="J39" s="5">
        <v>40</v>
      </c>
      <c r="K39" s="5"/>
      <c r="L39" s="6">
        <v>149</v>
      </c>
      <c r="M39" s="61">
        <v>80</v>
      </c>
      <c r="N39" s="6">
        <f t="shared" si="1"/>
        <v>48.3</v>
      </c>
      <c r="O39" t="s">
        <v>79</v>
      </c>
    </row>
    <row r="40" spans="1:16">
      <c r="A40" s="10" t="s">
        <v>81</v>
      </c>
      <c r="B40" s="10"/>
      <c r="C40" s="11">
        <v>45444</v>
      </c>
      <c r="D40" s="11"/>
      <c r="E40" s="11">
        <v>45408</v>
      </c>
      <c r="F40" s="12"/>
      <c r="G40" s="12"/>
      <c r="H40" s="12"/>
      <c r="I40" s="106">
        <f>43/30*34</f>
        <v>48.733333333333334</v>
      </c>
      <c r="J40" s="12"/>
      <c r="K40" s="12"/>
      <c r="L40" s="12">
        <v>129</v>
      </c>
      <c r="M40" s="107">
        <v>61</v>
      </c>
      <c r="N40" s="12">
        <f t="shared" si="1"/>
        <v>47.599999999999994</v>
      </c>
    </row>
    <row r="41" spans="1:16">
      <c r="A41" s="22" t="s">
        <v>87</v>
      </c>
      <c r="B41" s="22"/>
      <c r="C41" s="35">
        <v>43878</v>
      </c>
      <c r="D41" s="35"/>
      <c r="E41" s="35">
        <v>43892</v>
      </c>
      <c r="F41" s="5"/>
      <c r="G41" s="49"/>
      <c r="H41" s="5">
        <v>12.19</v>
      </c>
      <c r="I41" s="102"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22" t="s">
        <v>89</v>
      </c>
      <c r="B42" s="22"/>
      <c r="C42" s="35">
        <v>43908</v>
      </c>
      <c r="D42" s="35"/>
      <c r="E42" s="35">
        <v>43893</v>
      </c>
      <c r="F42" s="5"/>
      <c r="G42" s="49"/>
      <c r="H42" s="5">
        <v>9.6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6">
      <c r="A43" s="22" t="s">
        <v>85</v>
      </c>
      <c r="B43" s="22"/>
      <c r="C43" s="35">
        <v>43881</v>
      </c>
      <c r="D43" s="35"/>
      <c r="E43" s="35">
        <v>43895</v>
      </c>
      <c r="F43" s="5"/>
      <c r="G43" s="49"/>
      <c r="H43" s="5">
        <v>9.14</v>
      </c>
      <c r="I43" s="102">
        <f>11/30*15</f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6">
      <c r="A44" s="39" t="s">
        <v>82</v>
      </c>
      <c r="B44" s="28"/>
      <c r="C44" s="36">
        <v>40235</v>
      </c>
      <c r="D44" s="36"/>
      <c r="E44" s="36">
        <v>43901</v>
      </c>
      <c r="F44" s="5"/>
      <c r="G44" s="34"/>
      <c r="H44" s="37">
        <v>9.6</v>
      </c>
      <c r="I44" s="102">
        <f>11/2</f>
        <v>5.5</v>
      </c>
      <c r="J44" s="5"/>
      <c r="K44" s="5"/>
      <c r="L44" s="17">
        <v>25</v>
      </c>
      <c r="M44" s="63">
        <v>11</v>
      </c>
      <c r="N44" s="26">
        <f t="shared" si="1"/>
        <v>9.7999999999999989</v>
      </c>
    </row>
    <row r="45" spans="1:16">
      <c r="A45" s="22" t="s">
        <v>80</v>
      </c>
      <c r="B45" s="22"/>
      <c r="C45" s="35">
        <v>43873</v>
      </c>
      <c r="D45" s="35"/>
      <c r="E45" s="35">
        <v>43910</v>
      </c>
      <c r="F45" s="5"/>
      <c r="G45" s="49"/>
      <c r="H45" s="5">
        <v>21.84</v>
      </c>
      <c r="I45" s="102">
        <f>56/30*38</f>
        <v>70.933333333333337</v>
      </c>
      <c r="J45" s="5"/>
      <c r="K45" s="5"/>
      <c r="L45" s="6">
        <v>120</v>
      </c>
      <c r="M45" s="61">
        <v>56</v>
      </c>
      <c r="N45" s="6">
        <f t="shared" si="1"/>
        <v>44.8</v>
      </c>
    </row>
    <row r="46" spans="1:16">
      <c r="A46" s="22" t="s">
        <v>88</v>
      </c>
      <c r="B46" s="22"/>
      <c r="C46" s="35">
        <v>43855</v>
      </c>
      <c r="D46" s="35"/>
      <c r="E46" s="35">
        <v>43941</v>
      </c>
      <c r="F46" s="5"/>
      <c r="G46" s="49"/>
      <c r="H46" s="5">
        <v>13.93</v>
      </c>
      <c r="I46" s="102">
        <f>56/30*85</f>
        <v>158.66666666666666</v>
      </c>
      <c r="J46" s="5"/>
      <c r="K46" s="5"/>
      <c r="L46" s="6">
        <v>110</v>
      </c>
      <c r="M46" s="61">
        <v>56</v>
      </c>
      <c r="N46" s="6">
        <f t="shared" si="1"/>
        <v>37.799999999999997</v>
      </c>
    </row>
    <row r="47" spans="1:16">
      <c r="A47" s="22" t="s">
        <v>90</v>
      </c>
      <c r="B47" s="22"/>
      <c r="C47" s="35" t="s">
        <v>96</v>
      </c>
      <c r="D47" s="35"/>
      <c r="E47" s="35">
        <v>44015</v>
      </c>
      <c r="F47" s="5" t="s">
        <v>160</v>
      </c>
      <c r="G47" s="49">
        <v>12.5</v>
      </c>
      <c r="H47" s="5">
        <v>11.29</v>
      </c>
      <c r="I47" s="102">
        <f>100</f>
        <v>100</v>
      </c>
      <c r="J47" s="5"/>
      <c r="K47" s="5"/>
      <c r="L47" s="6">
        <v>105</v>
      </c>
      <c r="M47" s="61">
        <f>25+11+22</f>
        <v>58</v>
      </c>
      <c r="N47" s="6">
        <f>12.5+(92.5-M47)*0.7</f>
        <v>36.65</v>
      </c>
      <c r="P47" s="41"/>
    </row>
    <row r="48" spans="1:16">
      <c r="A48" s="22" t="s">
        <v>97</v>
      </c>
      <c r="B48" s="22"/>
      <c r="C48" s="35">
        <v>43990</v>
      </c>
      <c r="D48" s="35"/>
      <c r="E48" s="35">
        <v>44036</v>
      </c>
      <c r="F48" s="5"/>
      <c r="G48" s="49"/>
      <c r="H48" s="5">
        <v>8.75</v>
      </c>
      <c r="I48" s="102">
        <f>56/30*46</f>
        <v>85.866666666666674</v>
      </c>
      <c r="J48" s="5"/>
      <c r="K48" s="5"/>
      <c r="L48" s="6">
        <v>110</v>
      </c>
      <c r="M48" s="61">
        <f>45+11</f>
        <v>56</v>
      </c>
      <c r="N48" s="6">
        <f>(L48-M48)*0.7</f>
        <v>37.799999999999997</v>
      </c>
    </row>
    <row r="49" spans="1:16">
      <c r="A49" s="22" t="s">
        <v>95</v>
      </c>
      <c r="B49" s="22"/>
      <c r="C49" s="35">
        <v>44028</v>
      </c>
      <c r="D49" s="35"/>
      <c r="E49" s="35">
        <v>44040</v>
      </c>
      <c r="F49" s="5"/>
      <c r="G49" s="49"/>
      <c r="H49" s="5">
        <v>8.75</v>
      </c>
      <c r="I49" s="102">
        <f>41/30*12</f>
        <v>16.399999999999999</v>
      </c>
      <c r="J49" s="5"/>
      <c r="K49" s="5"/>
      <c r="L49" s="6">
        <v>60</v>
      </c>
      <c r="M49" s="61">
        <v>41</v>
      </c>
      <c r="N49" s="6">
        <f>(L49-M49)*0.7</f>
        <v>13.299999999999999</v>
      </c>
    </row>
    <row r="50" spans="1:16">
      <c r="A50" s="22" t="s">
        <v>94</v>
      </c>
      <c r="B50" s="22"/>
      <c r="C50" s="35">
        <v>44011</v>
      </c>
      <c r="D50" s="35"/>
      <c r="E50" s="35">
        <v>44084</v>
      </c>
      <c r="F50" s="5"/>
      <c r="G50" s="49"/>
      <c r="H50" s="5">
        <v>11.29</v>
      </c>
      <c r="I50" s="102">
        <f>25/30*71</f>
        <v>59.166666666666671</v>
      </c>
      <c r="J50" s="5"/>
      <c r="K50" s="5"/>
      <c r="L50" s="6">
        <v>40</v>
      </c>
      <c r="M50" s="61">
        <v>25</v>
      </c>
      <c r="N50" s="6">
        <f>(L50-M50)*0.7</f>
        <v>10.5</v>
      </c>
    </row>
    <row r="51" spans="1:16">
      <c r="A51" s="2" t="s">
        <v>99</v>
      </c>
      <c r="B51" s="2"/>
      <c r="C51" s="35">
        <v>44084</v>
      </c>
      <c r="D51" s="35"/>
      <c r="E51" s="35">
        <v>44105</v>
      </c>
      <c r="F51" s="5" t="s">
        <v>160</v>
      </c>
      <c r="G51" s="49">
        <v>5</v>
      </c>
      <c r="H51" s="5">
        <v>12.24</v>
      </c>
      <c r="I51" s="102">
        <f>25/30*20</f>
        <v>16.666666666666668</v>
      </c>
      <c r="J51" s="5"/>
      <c r="K51" s="5"/>
      <c r="L51" s="43">
        <v>40</v>
      </c>
      <c r="M51" s="61">
        <v>22</v>
      </c>
      <c r="N51" s="6">
        <f>5+13*0.7</f>
        <v>14.1</v>
      </c>
      <c r="P51" s="41"/>
    </row>
    <row r="52" spans="1:16">
      <c r="A52" s="2" t="s">
        <v>102</v>
      </c>
      <c r="B52" s="2"/>
      <c r="C52" s="4" t="s">
        <v>103</v>
      </c>
      <c r="D52" s="4"/>
      <c r="E52" s="4">
        <v>44110</v>
      </c>
      <c r="F52" s="5" t="s">
        <v>160</v>
      </c>
      <c r="G52" s="49">
        <v>10</v>
      </c>
      <c r="H52" s="5">
        <v>36.65</v>
      </c>
      <c r="I52" s="102">
        <f>115/30*26</f>
        <v>99.666666666666671</v>
      </c>
      <c r="J52" s="5"/>
      <c r="K52" s="5"/>
      <c r="L52" s="6">
        <v>180</v>
      </c>
      <c r="M52" s="61">
        <v>115</v>
      </c>
      <c r="N52" s="6">
        <f>10+55*0.7</f>
        <v>48.5</v>
      </c>
      <c r="P52" s="41"/>
    </row>
    <row r="53" spans="1:16">
      <c r="A53" s="2" t="s">
        <v>94</v>
      </c>
      <c r="B53" s="2"/>
      <c r="C53" s="35">
        <v>44124</v>
      </c>
      <c r="D53" s="35"/>
      <c r="E53" s="35">
        <v>44124</v>
      </c>
      <c r="F53" s="5"/>
      <c r="G53" s="49"/>
      <c r="H53" s="5">
        <v>7.25</v>
      </c>
      <c r="I53" s="102">
        <v>0</v>
      </c>
      <c r="J53" s="5"/>
      <c r="K53" s="5"/>
      <c r="L53" s="6">
        <v>25</v>
      </c>
      <c r="M53" s="61">
        <v>11</v>
      </c>
      <c r="N53" s="6">
        <f>(L53-M53)*0.7</f>
        <v>9.7999999999999989</v>
      </c>
    </row>
    <row r="54" spans="1:16">
      <c r="A54" s="2" t="s">
        <v>100</v>
      </c>
      <c r="B54" s="2"/>
      <c r="C54" s="4">
        <v>44018</v>
      </c>
      <c r="D54" s="4"/>
      <c r="E54" s="4">
        <v>44124</v>
      </c>
      <c r="F54" s="40"/>
      <c r="G54" s="2"/>
      <c r="H54" s="5">
        <v>9.5</v>
      </c>
      <c r="I54" s="102">
        <f>25/30*104</f>
        <v>86.666666666666671</v>
      </c>
      <c r="J54" s="5"/>
      <c r="K54" s="5"/>
      <c r="L54" s="6">
        <v>70</v>
      </c>
      <c r="M54" s="61">
        <v>25</v>
      </c>
      <c r="N54" s="6">
        <f>(L54-M54)*0.7</f>
        <v>31.499999999999996</v>
      </c>
    </row>
    <row r="55" spans="1:16">
      <c r="A55" s="2" t="s">
        <v>101</v>
      </c>
      <c r="B55" s="2"/>
      <c r="C55" s="4">
        <v>44070</v>
      </c>
      <c r="D55" s="4"/>
      <c r="E55" s="4">
        <v>44131</v>
      </c>
      <c r="F55" s="40"/>
      <c r="G55" s="2"/>
      <c r="H55" s="5">
        <v>13.93</v>
      </c>
      <c r="I55" s="102">
        <f>71/30*60</f>
        <v>142</v>
      </c>
      <c r="J55" s="5"/>
      <c r="K55" s="5"/>
      <c r="L55" s="6">
        <v>120</v>
      </c>
      <c r="M55" s="61">
        <f>60+11</f>
        <v>71</v>
      </c>
      <c r="N55" s="6">
        <f>(L55-M55)*0.7</f>
        <v>34.299999999999997</v>
      </c>
    </row>
    <row r="56" spans="1:16">
      <c r="A56" s="22" t="s">
        <v>104</v>
      </c>
      <c r="B56" s="22"/>
      <c r="C56" s="4">
        <v>44159</v>
      </c>
      <c r="D56" s="4"/>
      <c r="E56" s="4">
        <v>44187</v>
      </c>
      <c r="F56" s="40"/>
      <c r="G56" s="2"/>
      <c r="H56" s="5">
        <v>13.93</v>
      </c>
      <c r="I56" s="102">
        <f>36/30*28</f>
        <v>33.6</v>
      </c>
      <c r="J56" s="5"/>
      <c r="K56" s="5"/>
      <c r="L56" s="6">
        <v>110</v>
      </c>
      <c r="M56" s="61">
        <f>25+11</f>
        <v>36</v>
      </c>
      <c r="N56" s="6">
        <f>(L56-M56)*0.7</f>
        <v>51.8</v>
      </c>
    </row>
    <row r="57" spans="1:16">
      <c r="A57" s="22" t="s">
        <v>120</v>
      </c>
      <c r="B57" s="22"/>
      <c r="C57" s="4">
        <v>44169</v>
      </c>
      <c r="D57" s="4"/>
      <c r="E57" s="4">
        <v>44208</v>
      </c>
      <c r="F57" s="5" t="s">
        <v>160</v>
      </c>
      <c r="G57" s="49">
        <v>10</v>
      </c>
      <c r="H57" s="5"/>
      <c r="I57" s="102">
        <f>41/30*38</f>
        <v>51.933333333333337</v>
      </c>
      <c r="J57" s="5"/>
      <c r="K57" s="5"/>
      <c r="L57" s="6">
        <v>70</v>
      </c>
      <c r="M57" s="61">
        <v>45</v>
      </c>
      <c r="N57" s="5">
        <f>10+(60-45)*0.7</f>
        <v>20.5</v>
      </c>
      <c r="O57" s="1" t="s">
        <v>145</v>
      </c>
    </row>
    <row r="58" spans="1:16">
      <c r="A58" s="22" t="s">
        <v>108</v>
      </c>
      <c r="B58" s="22"/>
      <c r="C58" s="4">
        <v>44185</v>
      </c>
      <c r="D58" s="4"/>
      <c r="E58" s="4">
        <v>44242</v>
      </c>
      <c r="F58" s="5" t="s">
        <v>160</v>
      </c>
      <c r="G58" s="49">
        <v>20</v>
      </c>
      <c r="H58" s="5">
        <v>26.48</v>
      </c>
      <c r="I58" s="102">
        <f>50/30*55</f>
        <v>91.666666666666671</v>
      </c>
      <c r="J58" s="5">
        <v>160</v>
      </c>
      <c r="K58" s="5"/>
      <c r="L58" s="6">
        <v>130</v>
      </c>
      <c r="M58" s="61">
        <v>34</v>
      </c>
      <c r="N58" s="5">
        <f>(20+(110-34)*0.7)</f>
        <v>73.199999999999989</v>
      </c>
      <c r="O58" s="1" t="s">
        <v>145</v>
      </c>
    </row>
    <row r="59" spans="1:16">
      <c r="A59" s="22" t="s">
        <v>109</v>
      </c>
      <c r="B59" s="22"/>
      <c r="C59" s="4">
        <v>44209</v>
      </c>
      <c r="D59" s="4"/>
      <c r="E59" s="4">
        <v>44250</v>
      </c>
      <c r="F59" s="5" t="s">
        <v>160</v>
      </c>
      <c r="G59" s="49">
        <v>22.5</v>
      </c>
      <c r="H59" s="5">
        <v>22.83</v>
      </c>
      <c r="I59" s="102">
        <f>100/30*40</f>
        <v>133.33333333333334</v>
      </c>
      <c r="J59" s="5">
        <v>125</v>
      </c>
      <c r="K59" s="5"/>
      <c r="L59" s="6">
        <v>210</v>
      </c>
      <c r="M59" s="61">
        <v>100</v>
      </c>
      <c r="N59" s="6">
        <f>(22.5+87.5*0.7)</f>
        <v>83.75</v>
      </c>
    </row>
    <row r="60" spans="1:16">
      <c r="A60" s="2" t="s">
        <v>113</v>
      </c>
      <c r="B60" s="2"/>
      <c r="C60" s="4">
        <v>44245</v>
      </c>
      <c r="D60" s="4"/>
      <c r="E60" s="4">
        <v>44271</v>
      </c>
      <c r="F60" s="5" t="s">
        <v>160</v>
      </c>
      <c r="G60" s="49">
        <v>15</v>
      </c>
      <c r="H60" s="5">
        <v>26.76</v>
      </c>
      <c r="I60" s="102">
        <f>67/30*28</f>
        <v>62.533333333333331</v>
      </c>
      <c r="J60" s="5"/>
      <c r="K60" s="5"/>
      <c r="L60" s="6">
        <v>140</v>
      </c>
      <c r="M60" s="61">
        <v>67</v>
      </c>
      <c r="N60" s="6">
        <f>(15+0.7*58)</f>
        <v>55.599999999999994</v>
      </c>
    </row>
    <row r="61" spans="1:16">
      <c r="A61" s="2" t="s">
        <v>112</v>
      </c>
      <c r="B61" s="2"/>
      <c r="C61" s="4">
        <v>44270</v>
      </c>
      <c r="D61" s="4"/>
      <c r="E61" s="4">
        <v>44286</v>
      </c>
      <c r="F61" s="5" t="s">
        <v>160</v>
      </c>
      <c r="G61" s="49">
        <v>17.5</v>
      </c>
      <c r="H61" s="5">
        <v>31.96</v>
      </c>
      <c r="I61" s="102">
        <f>55/30*16</f>
        <v>29.333333333333332</v>
      </c>
      <c r="J61" s="5">
        <v>75</v>
      </c>
      <c r="K61" s="5"/>
      <c r="L61" s="6">
        <v>100</v>
      </c>
      <c r="M61" s="61">
        <v>55</v>
      </c>
      <c r="N61" s="6">
        <f>(17.5+27.5*0.7)</f>
        <v>36.75</v>
      </c>
    </row>
    <row r="62" spans="1:16">
      <c r="A62" s="22" t="s">
        <v>121</v>
      </c>
      <c r="B62" s="22"/>
      <c r="C62" s="4">
        <v>44316</v>
      </c>
      <c r="D62" s="4"/>
      <c r="E62" s="4">
        <v>44354</v>
      </c>
      <c r="F62" s="40"/>
      <c r="G62" s="2"/>
      <c r="H62" s="5">
        <v>15.15</v>
      </c>
      <c r="I62" s="102">
        <f>36/30*37</f>
        <v>44.4</v>
      </c>
      <c r="J62" s="5"/>
      <c r="K62" s="5"/>
      <c r="L62" s="6">
        <v>110</v>
      </c>
      <c r="M62" s="61">
        <v>36</v>
      </c>
      <c r="N62" s="5">
        <f>(L62-M62)*0.7</f>
        <v>51.8</v>
      </c>
      <c r="O62" s="1" t="s">
        <v>145</v>
      </c>
    </row>
    <row r="63" spans="1:16">
      <c r="A63" s="22" t="s">
        <v>126</v>
      </c>
      <c r="B63" s="22"/>
      <c r="C63" s="4">
        <v>44336</v>
      </c>
      <c r="D63" s="4"/>
      <c r="E63" s="4">
        <v>44370</v>
      </c>
      <c r="F63" s="5" t="s">
        <v>161</v>
      </c>
      <c r="G63" s="49">
        <v>17.5</v>
      </c>
      <c r="H63" s="5">
        <v>35.78</v>
      </c>
      <c r="I63" s="102">
        <f>58/30*33</f>
        <v>63.8</v>
      </c>
      <c r="J63" s="5">
        <v>50</v>
      </c>
      <c r="K63" s="5"/>
      <c r="L63" s="6">
        <v>150</v>
      </c>
      <c r="M63" s="61">
        <v>58</v>
      </c>
      <c r="N63" s="6">
        <f>(17.5+74.5*0.7)</f>
        <v>69.650000000000006</v>
      </c>
    </row>
    <row r="64" spans="1:16">
      <c r="A64" s="44" t="s">
        <v>125</v>
      </c>
      <c r="B64" s="44"/>
      <c r="C64" s="4">
        <v>44342</v>
      </c>
      <c r="D64" s="4"/>
      <c r="E64" s="4">
        <v>44386</v>
      </c>
      <c r="F64" s="5" t="s">
        <v>160</v>
      </c>
      <c r="G64" s="49">
        <v>12.5</v>
      </c>
      <c r="H64" s="5">
        <v>15.46</v>
      </c>
      <c r="I64" s="102">
        <f>36/30*43</f>
        <v>51.6</v>
      </c>
      <c r="J64" s="5">
        <f>50+45</f>
        <v>95</v>
      </c>
      <c r="K64" s="5"/>
      <c r="L64" s="6">
        <v>80</v>
      </c>
      <c r="M64" s="61">
        <v>33</v>
      </c>
      <c r="N64" s="6">
        <f>12.5+(L64-M64-12.5)*0.7</f>
        <v>36.65</v>
      </c>
    </row>
    <row r="65" spans="1:16">
      <c r="A65" s="44" t="s">
        <v>129</v>
      </c>
      <c r="B65" s="44"/>
      <c r="C65" s="4">
        <v>44348</v>
      </c>
      <c r="D65" s="4"/>
      <c r="E65" s="4">
        <v>44389</v>
      </c>
      <c r="F65" s="5" t="s">
        <v>160</v>
      </c>
      <c r="G65" s="49">
        <v>12.5</v>
      </c>
      <c r="H65" s="5">
        <v>26.22</v>
      </c>
      <c r="I65" s="102">
        <f>71/30*42</f>
        <v>99.4</v>
      </c>
      <c r="J65" s="5">
        <f>50+45</f>
        <v>95</v>
      </c>
      <c r="K65" s="5"/>
      <c r="L65" s="6">
        <v>140</v>
      </c>
      <c r="M65" s="61">
        <v>71</v>
      </c>
      <c r="N65" s="6">
        <f>(12.5+(127.5-71)*0.7)</f>
        <v>52.05</v>
      </c>
    </row>
    <row r="66" spans="1:16">
      <c r="A66" s="44" t="s">
        <v>124</v>
      </c>
      <c r="B66" s="44"/>
      <c r="C66" s="4">
        <v>44348</v>
      </c>
      <c r="D66" s="4"/>
      <c r="E66" s="4">
        <v>44389</v>
      </c>
      <c r="F66" s="40"/>
      <c r="G66" s="2"/>
      <c r="H66" s="5">
        <v>11.62</v>
      </c>
      <c r="I66" s="102">
        <f>26/30*42</f>
        <v>36.4</v>
      </c>
      <c r="J66" s="5">
        <v>65</v>
      </c>
      <c r="K66" s="5"/>
      <c r="L66" s="6">
        <v>70</v>
      </c>
      <c r="M66" s="61">
        <v>26</v>
      </c>
      <c r="N66" s="6">
        <f>(70-26)*0.7</f>
        <v>30.799999999999997</v>
      </c>
    </row>
    <row r="67" spans="1:16">
      <c r="A67" s="44" t="s">
        <v>132</v>
      </c>
      <c r="B67" s="44"/>
      <c r="C67" s="4">
        <v>44407</v>
      </c>
      <c r="D67" s="4"/>
      <c r="E67" s="4">
        <v>44461</v>
      </c>
      <c r="F67" s="40"/>
      <c r="G67" s="2"/>
      <c r="H67" s="5">
        <v>9.8800000000000008</v>
      </c>
      <c r="I67" s="102">
        <f>25/30*52</f>
        <v>43.333333333333336</v>
      </c>
      <c r="J67" s="5"/>
      <c r="K67" s="5"/>
      <c r="L67" s="6">
        <v>40</v>
      </c>
      <c r="M67" s="61">
        <v>25</v>
      </c>
      <c r="N67" s="6">
        <f>(L67-M67)*0.7</f>
        <v>10.5</v>
      </c>
    </row>
    <row r="68" spans="1:16">
      <c r="A68" s="52" t="s">
        <v>141</v>
      </c>
      <c r="B68" s="52"/>
      <c r="C68" s="57">
        <v>44459</v>
      </c>
      <c r="D68" s="57"/>
      <c r="E68" s="57">
        <v>44481</v>
      </c>
      <c r="F68" s="10" t="s">
        <v>161</v>
      </c>
      <c r="G68" s="12">
        <v>10</v>
      </c>
      <c r="H68" s="25">
        <v>15.15</v>
      </c>
      <c r="I68" s="103">
        <f>46/30*22</f>
        <v>33.733333333333334</v>
      </c>
      <c r="J68" s="25">
        <v>80</v>
      </c>
      <c r="K68" s="25"/>
      <c r="L68" s="27">
        <v>120</v>
      </c>
      <c r="M68" s="64">
        <v>46</v>
      </c>
      <c r="N68" s="27">
        <f>10+(120-56)*0.7</f>
        <v>54.8</v>
      </c>
    </row>
    <row r="69" spans="1:16">
      <c r="A69" s="52" t="s">
        <v>140</v>
      </c>
      <c r="B69" s="52"/>
      <c r="C69" s="57">
        <v>44449</v>
      </c>
      <c r="D69" s="57"/>
      <c r="E69" s="57">
        <v>44482</v>
      </c>
      <c r="F69" s="25" t="s">
        <v>160</v>
      </c>
      <c r="G69" s="58">
        <v>10</v>
      </c>
      <c r="H69" s="25">
        <v>13.4</v>
      </c>
      <c r="I69" s="103">
        <f>60/30*33</f>
        <v>66</v>
      </c>
      <c r="J69" s="25">
        <v>80</v>
      </c>
      <c r="K69" s="25"/>
      <c r="L69" s="27">
        <v>120</v>
      </c>
      <c r="M69" s="64">
        <v>61</v>
      </c>
      <c r="N69" s="27">
        <f>(10+49*0.7)</f>
        <v>44.3</v>
      </c>
    </row>
    <row r="70" spans="1:16">
      <c r="A70" s="44" t="s">
        <v>137</v>
      </c>
      <c r="B70" s="44"/>
      <c r="C70" s="35">
        <v>44474</v>
      </c>
      <c r="D70" s="35"/>
      <c r="E70" s="35">
        <v>44487</v>
      </c>
      <c r="F70" s="10" t="s">
        <v>161</v>
      </c>
      <c r="G70" s="12">
        <v>12.5</v>
      </c>
      <c r="H70" s="5">
        <v>15.15</v>
      </c>
      <c r="I70" s="102">
        <f>71/30*13</f>
        <v>30.766666666666666</v>
      </c>
      <c r="J70" s="5">
        <v>95</v>
      </c>
      <c r="K70" s="5"/>
      <c r="L70" s="6">
        <v>140</v>
      </c>
      <c r="M70" s="61">
        <v>71</v>
      </c>
      <c r="N70" s="6">
        <f>12.5+(56.5)*0.7</f>
        <v>52.05</v>
      </c>
    </row>
    <row r="71" spans="1:16">
      <c r="A71" s="44" t="s">
        <v>143</v>
      </c>
      <c r="B71" s="44"/>
      <c r="C71" s="35">
        <v>43717</v>
      </c>
      <c r="D71" s="35"/>
      <c r="E71" s="35">
        <v>44505</v>
      </c>
      <c r="F71" s="40"/>
      <c r="G71" s="49"/>
      <c r="H71" s="5">
        <v>13.4</v>
      </c>
      <c r="I71" s="102">
        <f>36*25+36/30*26</f>
        <v>931.2</v>
      </c>
      <c r="J71" s="5"/>
      <c r="K71" s="5"/>
      <c r="L71" s="6">
        <v>100</v>
      </c>
      <c r="M71" s="61">
        <v>36</v>
      </c>
      <c r="N71" s="6">
        <f>(100-36)*0.7</f>
        <v>44.8</v>
      </c>
    </row>
    <row r="72" spans="1:16">
      <c r="A72" s="44" t="s">
        <v>139</v>
      </c>
      <c r="B72" s="44"/>
      <c r="C72" s="35">
        <v>44492</v>
      </c>
      <c r="D72" s="35"/>
      <c r="E72" s="35">
        <v>44539</v>
      </c>
      <c r="F72" s="40"/>
      <c r="G72" s="49"/>
      <c r="H72" s="5">
        <v>16.350000000000001</v>
      </c>
      <c r="I72" s="102">
        <f>71/30*46</f>
        <v>108.86666666666667</v>
      </c>
      <c r="J72" s="5">
        <v>95</v>
      </c>
      <c r="K72" s="5"/>
      <c r="L72" s="6">
        <v>140</v>
      </c>
      <c r="M72" s="61">
        <v>71</v>
      </c>
      <c r="N72" s="12">
        <f>(140-71)*0.7</f>
        <v>48.3</v>
      </c>
      <c r="O72" s="72" t="s">
        <v>329</v>
      </c>
      <c r="P72" s="72">
        <v>33.81</v>
      </c>
    </row>
    <row r="73" spans="1:16">
      <c r="A73" s="44" t="s">
        <v>144</v>
      </c>
      <c r="B73" s="44"/>
      <c r="C73" s="35">
        <v>44526</v>
      </c>
      <c r="D73" s="35"/>
      <c r="E73" s="35">
        <v>44550</v>
      </c>
      <c r="F73" s="5" t="s">
        <v>160</v>
      </c>
      <c r="G73" s="49">
        <v>12.5</v>
      </c>
      <c r="H73" s="5">
        <v>13.4</v>
      </c>
      <c r="I73" s="102">
        <f>83/30*24</f>
        <v>66.400000000000006</v>
      </c>
      <c r="J73" s="5"/>
      <c r="K73" s="5"/>
      <c r="L73" s="6">
        <v>140</v>
      </c>
      <c r="M73" s="61">
        <v>94</v>
      </c>
      <c r="N73" s="6">
        <f>12.5+(140-12.5-94)*0.7</f>
        <v>35.950000000000003</v>
      </c>
    </row>
    <row r="74" spans="1:16">
      <c r="A74" s="44" t="s">
        <v>149</v>
      </c>
      <c r="B74" s="44"/>
      <c r="C74" s="35">
        <v>44880</v>
      </c>
      <c r="D74" s="35"/>
      <c r="E74" s="35">
        <v>44575</v>
      </c>
      <c r="F74" s="40"/>
      <c r="G74" s="49"/>
      <c r="H74" s="5">
        <v>13.4</v>
      </c>
      <c r="I74" s="102"/>
      <c r="J74" s="5">
        <v>50</v>
      </c>
      <c r="K74" s="5"/>
      <c r="L74" s="6">
        <v>160</v>
      </c>
      <c r="M74" s="61">
        <f>71+9</f>
        <v>80</v>
      </c>
      <c r="N74" s="6">
        <f>(160-80)*0.7</f>
        <v>56</v>
      </c>
    </row>
    <row r="75" spans="1:16">
      <c r="A75" s="44" t="s">
        <v>146</v>
      </c>
      <c r="B75" s="44"/>
      <c r="C75" s="4">
        <v>44586</v>
      </c>
      <c r="D75" s="4"/>
      <c r="E75" s="4">
        <v>44615</v>
      </c>
      <c r="F75" s="10" t="s">
        <v>161</v>
      </c>
      <c r="G75" s="12">
        <v>12.5</v>
      </c>
      <c r="H75" s="5">
        <v>15.46</v>
      </c>
      <c r="I75" s="102">
        <f>27/30*28</f>
        <v>25.2</v>
      </c>
      <c r="J75" s="5">
        <v>110</v>
      </c>
      <c r="K75" s="5"/>
      <c r="L75" s="6">
        <v>154</v>
      </c>
      <c r="M75" s="61">
        <v>72</v>
      </c>
      <c r="N75" s="6">
        <f>12.5+(154-12.5-62)*0.7</f>
        <v>68.150000000000006</v>
      </c>
    </row>
    <row r="76" spans="1:16">
      <c r="A76" s="44" t="s">
        <v>148</v>
      </c>
      <c r="B76" s="44"/>
      <c r="C76" s="4">
        <v>44579</v>
      </c>
      <c r="D76" s="4"/>
      <c r="E76" s="4">
        <v>44594</v>
      </c>
      <c r="F76" s="40"/>
      <c r="G76" s="49"/>
      <c r="H76" s="5">
        <v>13.4</v>
      </c>
      <c r="I76" s="102">
        <f>22/30*14</f>
        <v>10.266666666666666</v>
      </c>
      <c r="J76" s="5">
        <v>30</v>
      </c>
      <c r="K76" s="5"/>
      <c r="L76" s="6">
        <v>50</v>
      </c>
      <c r="M76" s="61">
        <v>22</v>
      </c>
      <c r="N76" s="6">
        <f>(50-22)*0.7</f>
        <v>19.599999999999998</v>
      </c>
    </row>
    <row r="77" spans="1:16">
      <c r="A77" s="44" t="s">
        <v>150</v>
      </c>
      <c r="B77" s="44"/>
      <c r="C77" s="4">
        <v>44899</v>
      </c>
      <c r="D77" s="4"/>
      <c r="E77" s="4">
        <v>44607</v>
      </c>
      <c r="F77" s="12" t="s">
        <v>160</v>
      </c>
      <c r="G77" s="12">
        <v>12.5</v>
      </c>
      <c r="H77" s="5">
        <v>13.4</v>
      </c>
      <c r="I77" s="102">
        <f>71/30*61</f>
        <v>144.36666666666667</v>
      </c>
      <c r="J77" s="5">
        <v>80</v>
      </c>
      <c r="K77" s="5"/>
      <c r="L77" s="6">
        <v>120</v>
      </c>
      <c r="M77" s="61">
        <v>60</v>
      </c>
      <c r="N77" s="6">
        <f>12.5+(120-72.5)*0.7</f>
        <v>45.75</v>
      </c>
    </row>
    <row r="78" spans="1:16">
      <c r="A78" s="44" t="s">
        <v>151</v>
      </c>
      <c r="B78" s="44"/>
      <c r="C78" s="4">
        <v>44926</v>
      </c>
      <c r="D78" s="4"/>
      <c r="E78" s="4">
        <v>44649</v>
      </c>
      <c r="F78" s="40"/>
      <c r="G78" s="40"/>
      <c r="H78" s="5">
        <v>9.0299999999999994</v>
      </c>
      <c r="I78" s="102">
        <f>25*2+25/30*29</f>
        <v>74.166666666666671</v>
      </c>
      <c r="J78" s="5">
        <v>80</v>
      </c>
      <c r="K78" s="5"/>
      <c r="L78" s="6">
        <v>67.5</v>
      </c>
      <c r="M78" s="61">
        <v>25</v>
      </c>
      <c r="N78" s="6">
        <f>(67.5-25)*0.7</f>
        <v>29.749999999999996</v>
      </c>
    </row>
    <row r="79" spans="1:16">
      <c r="A79" s="44" t="s">
        <v>152</v>
      </c>
      <c r="B79" s="44"/>
      <c r="C79" s="4">
        <v>44852</v>
      </c>
      <c r="D79" s="4"/>
      <c r="E79" s="4">
        <v>44649</v>
      </c>
      <c r="F79" s="40"/>
      <c r="G79" s="40"/>
      <c r="H79" s="5">
        <v>9.0299999999999994</v>
      </c>
      <c r="I79" s="102">
        <f>45*4+45/30*13</f>
        <v>199.5</v>
      </c>
      <c r="J79" s="5">
        <v>80</v>
      </c>
      <c r="K79" s="5"/>
      <c r="L79" s="6">
        <v>67.5</v>
      </c>
      <c r="M79" s="61">
        <v>45</v>
      </c>
      <c r="N79" s="6">
        <f>(L79-M79)*0.7</f>
        <v>15.749999999999998</v>
      </c>
    </row>
    <row r="80" spans="1:16">
      <c r="A80" s="44" t="s">
        <v>153</v>
      </c>
      <c r="B80" s="44"/>
      <c r="C80" s="4">
        <v>44623</v>
      </c>
      <c r="D80" s="4"/>
      <c r="E80" s="4">
        <v>44623</v>
      </c>
      <c r="F80" s="40"/>
      <c r="G80" s="40"/>
      <c r="H80" s="5">
        <v>11.03</v>
      </c>
      <c r="I80" s="102">
        <v>0</v>
      </c>
      <c r="J80" s="5">
        <v>15</v>
      </c>
      <c r="K80" s="5"/>
      <c r="L80" s="6">
        <v>30</v>
      </c>
      <c r="M80" s="61">
        <v>12</v>
      </c>
      <c r="N80" s="6">
        <f>(L80-M80)*0.7</f>
        <v>12.6</v>
      </c>
    </row>
    <row r="81" spans="1:14">
      <c r="A81" s="44" t="s">
        <v>154</v>
      </c>
      <c r="B81" s="44"/>
      <c r="C81" s="4">
        <v>44881</v>
      </c>
      <c r="D81" s="4"/>
      <c r="E81" s="4">
        <v>44628</v>
      </c>
      <c r="F81" s="40"/>
      <c r="G81" s="40"/>
      <c r="H81" s="5">
        <v>9.0299999999999994</v>
      </c>
      <c r="I81" s="102">
        <f>65*3+65/30*22</f>
        <v>242.66666666666666</v>
      </c>
      <c r="J81" s="5">
        <v>95</v>
      </c>
      <c r="K81" s="5"/>
      <c r="L81" s="6">
        <v>112</v>
      </c>
      <c r="M81" s="61">
        <v>65</v>
      </c>
      <c r="N81" s="6">
        <f>(L81-M81)*0.7</f>
        <v>32.9</v>
      </c>
    </row>
    <row r="82" spans="1:14">
      <c r="A82" s="44" t="s">
        <v>155</v>
      </c>
      <c r="B82" s="44"/>
      <c r="C82" s="4">
        <v>44490</v>
      </c>
      <c r="D82" s="4"/>
      <c r="E82" s="4">
        <v>44648</v>
      </c>
      <c r="F82" s="40"/>
      <c r="G82" s="40"/>
      <c r="H82" s="5">
        <v>13.4</v>
      </c>
      <c r="I82" s="102">
        <f>45*5+45/30*7</f>
        <v>235.5</v>
      </c>
      <c r="J82" s="5">
        <v>80</v>
      </c>
      <c r="K82" s="5"/>
      <c r="L82" s="6">
        <v>67.5</v>
      </c>
      <c r="M82" s="61">
        <v>45</v>
      </c>
      <c r="N82" s="6">
        <f>(L82-M82)*0.7</f>
        <v>15.749999999999998</v>
      </c>
    </row>
    <row r="83" spans="1:14">
      <c r="A83" s="44" t="s">
        <v>156</v>
      </c>
      <c r="B83" s="44"/>
      <c r="C83" s="4">
        <v>44489</v>
      </c>
      <c r="D83" s="4"/>
      <c r="E83" s="4">
        <v>44651</v>
      </c>
      <c r="F83" s="40"/>
      <c r="G83" s="40"/>
      <c r="H83" s="5">
        <v>15.46</v>
      </c>
      <c r="I83" s="102">
        <f>50*5+50/10</f>
        <v>255</v>
      </c>
      <c r="J83" s="5">
        <v>145</v>
      </c>
      <c r="K83" s="5"/>
      <c r="L83" s="6">
        <v>125</v>
      </c>
      <c r="M83" s="61">
        <v>50</v>
      </c>
      <c r="N83" s="6">
        <f>(L83-M83)*0.7</f>
        <v>52.5</v>
      </c>
    </row>
    <row r="84" spans="1:14">
      <c r="A84" s="44" t="s">
        <v>157</v>
      </c>
      <c r="B84" s="44"/>
      <c r="C84" s="4">
        <v>44627</v>
      </c>
      <c r="D84" s="4"/>
      <c r="E84" s="4">
        <v>44627</v>
      </c>
      <c r="F84" s="10" t="s">
        <v>161</v>
      </c>
      <c r="G84" s="12">
        <v>10</v>
      </c>
      <c r="H84" s="5">
        <v>15.46</v>
      </c>
      <c r="I84" s="102">
        <v>0</v>
      </c>
      <c r="J84" s="5">
        <v>0</v>
      </c>
      <c r="K84" s="5"/>
      <c r="L84" s="6">
        <v>100</v>
      </c>
      <c r="M84" s="61">
        <v>44</v>
      </c>
      <c r="N84" s="6">
        <f>10+(46)*0.7</f>
        <v>42.199999999999996</v>
      </c>
    </row>
    <row r="85" spans="1:14">
      <c r="A85" s="44" t="s">
        <v>158</v>
      </c>
      <c r="B85" s="44"/>
      <c r="C85" s="4">
        <v>44627</v>
      </c>
      <c r="D85" s="4"/>
      <c r="E85" s="4">
        <v>44627</v>
      </c>
      <c r="F85" s="10" t="s">
        <v>161</v>
      </c>
      <c r="G85" s="12">
        <v>12.5</v>
      </c>
      <c r="H85" s="5">
        <v>15.46</v>
      </c>
      <c r="I85" s="102">
        <v>0</v>
      </c>
      <c r="J85" s="5">
        <v>0</v>
      </c>
      <c r="K85" s="5"/>
      <c r="L85" s="6">
        <v>125</v>
      </c>
      <c r="M85" s="61">
        <v>55</v>
      </c>
      <c r="N85" s="6">
        <f>12.5+(57.5)*0.7</f>
        <v>52.75</v>
      </c>
    </row>
    <row r="86" spans="1:14">
      <c r="A86" s="44" t="s">
        <v>171</v>
      </c>
      <c r="B86" s="44"/>
      <c r="C86" s="4">
        <v>44648</v>
      </c>
      <c r="D86" s="4"/>
      <c r="E86" s="4">
        <v>44734</v>
      </c>
      <c r="F86" s="40"/>
      <c r="G86" s="5"/>
      <c r="H86" s="5">
        <v>13.72</v>
      </c>
      <c r="I86" s="102">
        <f>56/30*84</f>
        <v>156.80000000000001</v>
      </c>
      <c r="J86" s="5">
        <v>95</v>
      </c>
      <c r="K86" s="5"/>
      <c r="L86" s="6">
        <v>140</v>
      </c>
      <c r="M86" s="61">
        <v>56</v>
      </c>
      <c r="N86" s="6">
        <f>(140-56)*0.7</f>
        <v>58.8</v>
      </c>
    </row>
    <row r="87" spans="1:14">
      <c r="A87" s="44" t="s">
        <v>172</v>
      </c>
      <c r="B87" s="44"/>
      <c r="C87" s="4">
        <v>44705</v>
      </c>
      <c r="D87" s="4"/>
      <c r="E87" s="4">
        <v>44715</v>
      </c>
      <c r="F87" s="40"/>
      <c r="G87" s="5"/>
      <c r="H87" s="5">
        <v>10.039999999999999</v>
      </c>
      <c r="I87" s="102">
        <f>25/30*9</f>
        <v>7.5</v>
      </c>
      <c r="J87" s="5"/>
      <c r="K87" s="5"/>
      <c r="L87" s="6">
        <v>50</v>
      </c>
      <c r="M87" s="61">
        <v>25</v>
      </c>
      <c r="N87" s="6">
        <f>(50-25)*0.7</f>
        <v>17.5</v>
      </c>
    </row>
    <row r="88" spans="1:14">
      <c r="A88" s="44" t="s">
        <v>173</v>
      </c>
      <c r="B88" s="44"/>
      <c r="C88" s="4">
        <v>44704</v>
      </c>
      <c r="D88" s="4"/>
      <c r="E88" s="4">
        <v>44721</v>
      </c>
      <c r="F88" s="10" t="s">
        <v>161</v>
      </c>
      <c r="G88" s="56">
        <v>12.5</v>
      </c>
      <c r="H88" s="5">
        <v>13.72</v>
      </c>
      <c r="I88" s="102">
        <f>37/30*16</f>
        <v>19.733333333333334</v>
      </c>
      <c r="J88" s="5">
        <f>50+45</f>
        <v>95</v>
      </c>
      <c r="K88" s="5"/>
      <c r="L88" s="6">
        <v>110</v>
      </c>
      <c r="M88" s="61">
        <v>37</v>
      </c>
      <c r="N88" s="56">
        <f>12.5+(97.5-37)*0.7</f>
        <v>54.849999999999994</v>
      </c>
    </row>
    <row r="89" spans="1:14">
      <c r="A89" s="44" t="s">
        <v>174</v>
      </c>
      <c r="B89" s="44"/>
      <c r="C89" s="4">
        <v>44715</v>
      </c>
      <c r="D89" s="4"/>
      <c r="E89" s="4">
        <v>44820</v>
      </c>
      <c r="F89" s="10" t="s">
        <v>161</v>
      </c>
      <c r="G89" s="56">
        <v>15</v>
      </c>
      <c r="H89" s="5">
        <v>14.6</v>
      </c>
      <c r="I89" s="102">
        <f>56/30*103</f>
        <v>192.26666666666668</v>
      </c>
      <c r="J89" s="5">
        <v>50</v>
      </c>
      <c r="K89" s="5"/>
      <c r="L89" s="6">
        <f>130</f>
        <v>130</v>
      </c>
      <c r="M89" s="61">
        <v>56</v>
      </c>
      <c r="N89" s="56">
        <f>15+(115-56)*0.7</f>
        <v>56.3</v>
      </c>
    </row>
    <row r="90" spans="1:14">
      <c r="A90" s="44" t="s">
        <v>183</v>
      </c>
      <c r="B90" s="44"/>
      <c r="C90" s="4">
        <v>44749</v>
      </c>
      <c r="D90" s="4">
        <v>44830</v>
      </c>
      <c r="E90" s="4">
        <v>44858</v>
      </c>
      <c r="F90" s="40"/>
      <c r="G90" s="5"/>
      <c r="H90" s="5">
        <v>11.03</v>
      </c>
      <c r="I90" s="102">
        <v>25</v>
      </c>
      <c r="J90" s="5">
        <v>15</v>
      </c>
      <c r="K90" s="5"/>
      <c r="L90" s="6">
        <v>80</v>
      </c>
      <c r="M90" s="61">
        <v>25</v>
      </c>
      <c r="N90" s="6">
        <f>55*0.7</f>
        <v>38.5</v>
      </c>
    </row>
    <row r="91" spans="1:14">
      <c r="A91" s="44" t="s">
        <v>184</v>
      </c>
      <c r="B91" s="44"/>
      <c r="C91" s="4">
        <v>44775</v>
      </c>
      <c r="D91" s="4">
        <v>44810</v>
      </c>
      <c r="E91" s="4">
        <v>44848</v>
      </c>
      <c r="F91" s="40"/>
      <c r="G91" s="5"/>
      <c r="H91" s="5">
        <v>23.38</v>
      </c>
      <c r="I91" s="102">
        <f>100/30*38</f>
        <v>126.66666666666667</v>
      </c>
      <c r="J91" s="5">
        <v>155</v>
      </c>
      <c r="K91" s="5"/>
      <c r="L91" s="6">
        <v>220</v>
      </c>
      <c r="M91" s="61">
        <v>100</v>
      </c>
      <c r="N91" s="6">
        <v>90.75</v>
      </c>
    </row>
    <row r="92" spans="1:14">
      <c r="A92" s="44" t="s">
        <v>185</v>
      </c>
      <c r="B92" s="44"/>
      <c r="C92" s="4">
        <v>44830</v>
      </c>
      <c r="D92" s="4">
        <v>44852</v>
      </c>
      <c r="E92" s="4">
        <v>44858</v>
      </c>
      <c r="F92" s="10" t="s">
        <v>161</v>
      </c>
      <c r="G92" s="12">
        <v>15</v>
      </c>
      <c r="H92" s="5">
        <v>23.38</v>
      </c>
      <c r="I92" s="102">
        <f>54.5/30*6</f>
        <v>10.9</v>
      </c>
      <c r="J92" s="5">
        <v>95</v>
      </c>
      <c r="K92" s="5"/>
      <c r="L92" s="6">
        <v>160</v>
      </c>
      <c r="M92" s="61">
        <v>64.5</v>
      </c>
      <c r="N92" s="6">
        <f>15+(145-64.5)*0.7</f>
        <v>71.349999999999994</v>
      </c>
    </row>
    <row r="93" spans="1:14">
      <c r="A93" s="44" t="s">
        <v>190</v>
      </c>
      <c r="B93" s="44"/>
      <c r="C93" s="4"/>
      <c r="D93" s="4">
        <v>44879</v>
      </c>
      <c r="E93" s="35">
        <v>44887</v>
      </c>
      <c r="F93" s="44" t="s">
        <v>161</v>
      </c>
      <c r="G93" s="56">
        <v>10</v>
      </c>
      <c r="H93" s="5">
        <v>14.6</v>
      </c>
      <c r="I93" s="102">
        <f>34/30*8</f>
        <v>9.0666666666666664</v>
      </c>
      <c r="J93" s="5">
        <v>45</v>
      </c>
      <c r="K93" s="5"/>
      <c r="L93" s="6">
        <v>90</v>
      </c>
      <c r="M93" s="61">
        <v>34</v>
      </c>
      <c r="N93" s="56">
        <f>10+(80-34)*0.7</f>
        <v>42.199999999999996</v>
      </c>
    </row>
    <row r="94" spans="1:14">
      <c r="A94" s="44" t="s">
        <v>193</v>
      </c>
      <c r="B94" s="44"/>
      <c r="C94" s="4">
        <v>44872</v>
      </c>
      <c r="D94" s="4">
        <v>44879</v>
      </c>
      <c r="E94" s="35">
        <v>44882</v>
      </c>
      <c r="F94" s="40"/>
      <c r="G94" s="5"/>
      <c r="H94" s="5">
        <v>10.039999999999999</v>
      </c>
      <c r="I94" s="102">
        <f>25/30*3</f>
        <v>2.5</v>
      </c>
      <c r="J94" s="5"/>
      <c r="K94" s="5"/>
      <c r="L94" s="6">
        <v>40</v>
      </c>
      <c r="M94" s="61">
        <v>25</v>
      </c>
      <c r="N94" s="6">
        <f>(L94-M94)*0.7</f>
        <v>10.5</v>
      </c>
    </row>
    <row r="95" spans="1:14">
      <c r="A95" s="44" t="s">
        <v>213</v>
      </c>
      <c r="B95" s="44"/>
      <c r="C95" s="4">
        <v>44894</v>
      </c>
      <c r="D95" s="4">
        <v>44908</v>
      </c>
      <c r="E95" s="35">
        <v>44944</v>
      </c>
      <c r="F95" s="40" t="s">
        <v>161</v>
      </c>
      <c r="G95" s="5">
        <v>15</v>
      </c>
      <c r="H95" s="5">
        <v>31.72</v>
      </c>
      <c r="I95" s="102">
        <f>50/30*35</f>
        <v>58.333333333333336</v>
      </c>
      <c r="J95" s="5">
        <f>60+50</f>
        <v>110</v>
      </c>
      <c r="K95" s="5"/>
      <c r="L95" s="6">
        <v>130</v>
      </c>
      <c r="M95" s="61">
        <f>19+2+3.5*2+11*2</f>
        <v>50</v>
      </c>
      <c r="N95" s="94">
        <f>15+(L95-M95-15)*0.7</f>
        <v>60.5</v>
      </c>
    </row>
    <row r="96" spans="1:14">
      <c r="A96" s="44" t="s">
        <v>227</v>
      </c>
      <c r="B96" s="44"/>
      <c r="C96" s="4">
        <v>44949</v>
      </c>
      <c r="D96" s="4">
        <v>44953</v>
      </c>
      <c r="E96" s="35">
        <v>44966</v>
      </c>
      <c r="F96" s="40" t="s">
        <v>160</v>
      </c>
      <c r="G96" s="5">
        <v>15</v>
      </c>
      <c r="H96" s="5">
        <v>16.38</v>
      </c>
      <c r="I96" s="102">
        <f>61.5/30*12</f>
        <v>24.599999999999998</v>
      </c>
      <c r="J96" s="5">
        <f>50+60</f>
        <v>110</v>
      </c>
      <c r="K96" s="5"/>
      <c r="L96" s="6">
        <v>160</v>
      </c>
      <c r="M96" s="65">
        <f>32.5+7+22</f>
        <v>61.5</v>
      </c>
      <c r="N96" s="59">
        <f>15+(L96-M96-15)*0.7</f>
        <v>73.449999999999989</v>
      </c>
    </row>
    <row r="97" spans="1:16">
      <c r="A97" s="44" t="s">
        <v>228</v>
      </c>
      <c r="B97" s="44"/>
      <c r="C97" s="4">
        <v>44957</v>
      </c>
      <c r="D97" s="4">
        <v>44957</v>
      </c>
      <c r="E97" s="35">
        <v>44977</v>
      </c>
      <c r="F97" s="40"/>
      <c r="G97" s="5"/>
      <c r="H97" s="5">
        <v>20.61</v>
      </c>
      <c r="I97" s="102">
        <f>66/30*20</f>
        <v>44</v>
      </c>
      <c r="J97" s="5">
        <v>90</v>
      </c>
      <c r="K97" s="5"/>
      <c r="L97" s="6">
        <v>155</v>
      </c>
      <c r="M97" s="65">
        <v>54</v>
      </c>
      <c r="N97" s="59">
        <f>(L97-M97)*0.7</f>
        <v>70.699999999999989</v>
      </c>
    </row>
    <row r="98" spans="1:16">
      <c r="A98" s="44" t="s">
        <v>255</v>
      </c>
      <c r="B98" s="44"/>
      <c r="C98" s="35">
        <v>44691</v>
      </c>
      <c r="D98" s="35">
        <v>44994</v>
      </c>
      <c r="E98" s="4">
        <v>44994</v>
      </c>
      <c r="F98" s="40"/>
      <c r="G98" s="40"/>
      <c r="H98" s="5">
        <v>11.03</v>
      </c>
      <c r="I98" s="102">
        <f>25*14</f>
        <v>350</v>
      </c>
      <c r="J98" s="40">
        <f>30+50</f>
        <v>80</v>
      </c>
      <c r="K98" s="40"/>
      <c r="L98" s="6">
        <v>90</v>
      </c>
      <c r="M98" s="6">
        <v>25</v>
      </c>
      <c r="N98" s="59">
        <v>48.5</v>
      </c>
    </row>
    <row r="99" spans="1:16">
      <c r="A99" s="44" t="s">
        <v>187</v>
      </c>
      <c r="B99" s="44"/>
      <c r="C99" s="35"/>
      <c r="D99" s="35">
        <v>44991</v>
      </c>
      <c r="E99" s="4">
        <v>44991</v>
      </c>
      <c r="F99" s="40"/>
      <c r="G99" s="40"/>
      <c r="H99" s="5">
        <v>13.31</v>
      </c>
      <c r="I99" s="102"/>
      <c r="J99" s="40">
        <v>45</v>
      </c>
      <c r="K99" s="40"/>
      <c r="L99" s="6">
        <v>80</v>
      </c>
      <c r="M99" s="6">
        <v>27</v>
      </c>
      <c r="N99" s="59">
        <f>(L99-M99)*0.7</f>
        <v>37.099999999999994</v>
      </c>
    </row>
    <row r="100" spans="1:16">
      <c r="A100" s="76" t="s">
        <v>276</v>
      </c>
      <c r="B100" s="44"/>
      <c r="C100" s="35">
        <v>45061</v>
      </c>
      <c r="D100" s="35">
        <v>45070</v>
      </c>
      <c r="E100" s="4"/>
      <c r="F100" s="40"/>
      <c r="G100" s="40"/>
      <c r="H100" s="5">
        <v>11.48</v>
      </c>
      <c r="I100" s="102">
        <f>21/30*9</f>
        <v>6.3</v>
      </c>
      <c r="J100" s="40"/>
      <c r="K100" s="40"/>
      <c r="L100" s="17">
        <f>50</f>
        <v>50</v>
      </c>
      <c r="M100" s="18">
        <v>21</v>
      </c>
      <c r="N100" s="70">
        <f>(50-21)*0.7</f>
        <v>20.299999999999997</v>
      </c>
    </row>
    <row r="101" spans="1:16">
      <c r="A101" s="76" t="s">
        <v>279</v>
      </c>
      <c r="B101" s="44"/>
      <c r="C101" s="35">
        <v>45065</v>
      </c>
      <c r="D101" s="35">
        <v>45070</v>
      </c>
      <c r="E101" s="4"/>
      <c r="F101" s="40"/>
      <c r="G101" s="40"/>
      <c r="H101" s="5">
        <v>11.48</v>
      </c>
      <c r="I101" s="102">
        <f>21/30*5</f>
        <v>3.5</v>
      </c>
      <c r="J101" s="40"/>
      <c r="K101" s="40"/>
      <c r="L101" s="17">
        <f>50</f>
        <v>50</v>
      </c>
      <c r="M101" s="18">
        <v>21</v>
      </c>
      <c r="N101" s="70">
        <f>(50-21)*0.7</f>
        <v>20.299999999999997</v>
      </c>
    </row>
    <row r="102" spans="1:16">
      <c r="A102" s="76" t="s">
        <v>278</v>
      </c>
      <c r="B102" s="52"/>
      <c r="C102" s="57">
        <v>44973</v>
      </c>
      <c r="D102" s="57">
        <v>45070</v>
      </c>
      <c r="E102" s="24"/>
      <c r="F102" s="48"/>
      <c r="G102" s="48"/>
      <c r="H102" s="25">
        <v>11.48</v>
      </c>
      <c r="I102" s="103">
        <f>21/30*98</f>
        <v>68.599999999999994</v>
      </c>
      <c r="J102" s="48"/>
      <c r="K102" s="48"/>
      <c r="L102" s="17">
        <v>50</v>
      </c>
      <c r="M102" s="26">
        <v>21</v>
      </c>
      <c r="N102" s="85">
        <f>(50-21)*0.7</f>
        <v>20.299999999999997</v>
      </c>
    </row>
    <row r="103" spans="1:16">
      <c r="A103" s="44" t="s">
        <v>289</v>
      </c>
      <c r="B103" s="44"/>
      <c r="C103" s="35">
        <v>45110</v>
      </c>
      <c r="D103" s="35">
        <v>45127</v>
      </c>
      <c r="E103" s="4">
        <v>45110</v>
      </c>
      <c r="F103" s="40"/>
      <c r="G103" s="40"/>
      <c r="H103" s="5">
        <v>13.31</v>
      </c>
      <c r="I103" s="102">
        <f>27/30*17</f>
        <v>15.3</v>
      </c>
      <c r="J103" s="40">
        <v>45</v>
      </c>
      <c r="K103" s="40"/>
      <c r="L103" s="6">
        <v>75</v>
      </c>
      <c r="M103" s="6">
        <v>27</v>
      </c>
      <c r="N103" s="59">
        <f>(L103-M103)*0.7</f>
        <v>33.599999999999994</v>
      </c>
    </row>
    <row r="104" spans="1:16">
      <c r="A104" s="44" t="s">
        <v>292</v>
      </c>
      <c r="B104" s="44"/>
      <c r="C104" s="35">
        <v>45138</v>
      </c>
      <c r="D104" s="35">
        <v>45139</v>
      </c>
      <c r="E104" s="35">
        <v>45162</v>
      </c>
      <c r="F104" s="40"/>
      <c r="G104" s="40"/>
      <c r="H104" s="5">
        <v>12.48</v>
      </c>
      <c r="I104" s="102">
        <f>27/30*23</f>
        <v>20.7</v>
      </c>
      <c r="J104" s="40">
        <v>45</v>
      </c>
      <c r="K104" s="40"/>
      <c r="L104" s="6">
        <v>90</v>
      </c>
      <c r="M104" s="6">
        <v>27</v>
      </c>
      <c r="N104" s="59">
        <f>(L104-M104)*0.7</f>
        <v>44.099999999999994</v>
      </c>
    </row>
    <row r="105" spans="1:16">
      <c r="A105" s="44" t="s">
        <v>293</v>
      </c>
      <c r="B105" s="44"/>
      <c r="C105" s="35">
        <v>45086</v>
      </c>
      <c r="D105" s="35">
        <v>45089</v>
      </c>
      <c r="E105" s="4">
        <v>45103</v>
      </c>
      <c r="F105" s="40"/>
      <c r="G105" s="40"/>
      <c r="H105" s="5">
        <v>11.03</v>
      </c>
      <c r="I105" s="102">
        <f>21/30*14</f>
        <v>9.7999999999999989</v>
      </c>
      <c r="J105" s="40"/>
      <c r="K105" s="40"/>
      <c r="L105" s="6">
        <v>50</v>
      </c>
      <c r="M105" s="6">
        <v>21</v>
      </c>
      <c r="N105" s="59">
        <f>(L105-M105)*0.7</f>
        <v>20.299999999999997</v>
      </c>
    </row>
    <row r="106" spans="1:16">
      <c r="A106" s="44" t="s">
        <v>295</v>
      </c>
      <c r="B106" s="44"/>
      <c r="C106" s="35">
        <v>45228</v>
      </c>
      <c r="D106" s="35">
        <v>45203</v>
      </c>
      <c r="E106" s="4"/>
      <c r="F106" s="40"/>
      <c r="G106" s="40"/>
      <c r="H106" s="5">
        <v>13.31</v>
      </c>
      <c r="I106" s="102">
        <f>27/30*5</f>
        <v>4.5</v>
      </c>
      <c r="J106" s="40">
        <v>45</v>
      </c>
      <c r="K106" s="40"/>
      <c r="L106" s="6">
        <v>80</v>
      </c>
      <c r="M106" s="6">
        <v>27</v>
      </c>
      <c r="N106" s="59">
        <f>(L106-M106)*0.7</f>
        <v>37.099999999999994</v>
      </c>
    </row>
    <row r="107" spans="1:16">
      <c r="A107" s="44" t="s">
        <v>320</v>
      </c>
      <c r="B107" s="44"/>
      <c r="C107" s="35">
        <v>45177</v>
      </c>
      <c r="D107" s="35">
        <v>45196</v>
      </c>
      <c r="E107" s="4"/>
      <c r="F107" s="40"/>
      <c r="G107" s="40"/>
      <c r="H107" s="5">
        <v>10.44</v>
      </c>
      <c r="I107" s="102">
        <f>38/30*21</f>
        <v>26.599999999999998</v>
      </c>
      <c r="J107" s="40"/>
      <c r="K107" s="40"/>
      <c r="L107" s="6">
        <v>69</v>
      </c>
      <c r="M107" s="6">
        <v>38</v>
      </c>
      <c r="N107" s="59">
        <f>(69-38)*0.7</f>
        <v>21.7</v>
      </c>
    </row>
    <row r="108" spans="1:16">
      <c r="A108" s="44" t="s">
        <v>325</v>
      </c>
      <c r="B108" s="44"/>
      <c r="C108" s="35"/>
      <c r="D108" s="35">
        <v>45223</v>
      </c>
      <c r="E108" s="4">
        <v>45239</v>
      </c>
      <c r="F108" s="40"/>
      <c r="G108" s="40"/>
      <c r="H108" s="5">
        <v>40</v>
      </c>
      <c r="I108" s="102">
        <f>43/30*15</f>
        <v>21.5</v>
      </c>
      <c r="J108" s="40"/>
      <c r="K108" s="40"/>
      <c r="L108" s="6">
        <v>69</v>
      </c>
      <c r="M108" s="6">
        <v>43</v>
      </c>
      <c r="N108" s="94">
        <f>(69-43)*0.7</f>
        <v>18.2</v>
      </c>
      <c r="O108" s="72" t="s">
        <v>329</v>
      </c>
      <c r="P108" s="72">
        <v>12.74</v>
      </c>
    </row>
    <row r="109" spans="1:16">
      <c r="A109" s="44" t="s">
        <v>326</v>
      </c>
      <c r="B109" s="44"/>
      <c r="C109" s="35"/>
      <c r="D109" s="35">
        <v>45188</v>
      </c>
      <c r="E109" s="4">
        <v>45209</v>
      </c>
      <c r="F109" s="40"/>
      <c r="G109" s="40"/>
      <c r="H109" s="5">
        <v>11.48</v>
      </c>
      <c r="I109" s="102"/>
      <c r="J109" s="40"/>
      <c r="K109" s="40"/>
      <c r="L109" s="6">
        <v>59</v>
      </c>
      <c r="M109" s="6">
        <v>38</v>
      </c>
      <c r="N109" s="59">
        <f>(L109-M109)*0.7</f>
        <v>14.7</v>
      </c>
    </row>
    <row r="110" spans="1:16">
      <c r="A110" s="44" t="s">
        <v>108</v>
      </c>
      <c r="B110" s="44"/>
      <c r="C110" s="35"/>
      <c r="D110" s="35">
        <v>45231</v>
      </c>
      <c r="E110" s="4">
        <v>45231</v>
      </c>
      <c r="F110" s="40"/>
      <c r="G110" s="40"/>
      <c r="H110" s="5"/>
      <c r="I110" s="102"/>
      <c r="J110" s="40"/>
      <c r="K110" s="40"/>
      <c r="L110" s="6">
        <v>69</v>
      </c>
      <c r="M110" s="6">
        <v>43</v>
      </c>
      <c r="N110" s="59">
        <f>(L110-M110)*0.7</f>
        <v>18.2</v>
      </c>
    </row>
    <row r="111" spans="1:16">
      <c r="A111" s="44" t="s">
        <v>327</v>
      </c>
      <c r="B111" s="44"/>
      <c r="C111" s="35"/>
      <c r="D111" s="35"/>
      <c r="E111" s="4">
        <v>45127</v>
      </c>
      <c r="F111" s="40"/>
      <c r="G111" s="40"/>
      <c r="H111" s="5">
        <v>11.48</v>
      </c>
      <c r="I111" s="102"/>
      <c r="J111" s="40"/>
      <c r="K111" s="40"/>
      <c r="L111" s="6">
        <v>25</v>
      </c>
      <c r="M111" s="6">
        <v>9</v>
      </c>
      <c r="N111" s="59">
        <f>(L111-M111)*0.7</f>
        <v>11.2</v>
      </c>
    </row>
    <row r="112" spans="1:16">
      <c r="A112" s="44" t="s">
        <v>336</v>
      </c>
      <c r="B112" s="44"/>
      <c r="C112" s="35"/>
      <c r="D112" s="35">
        <v>45278</v>
      </c>
      <c r="E112" s="4">
        <v>45278</v>
      </c>
      <c r="F112" s="40"/>
      <c r="G112" s="40"/>
      <c r="H112" s="5"/>
      <c r="I112" s="102"/>
      <c r="J112" s="40"/>
      <c r="K112" s="40"/>
      <c r="L112" s="6">
        <v>69</v>
      </c>
      <c r="M112" s="6">
        <v>43</v>
      </c>
      <c r="N112" s="59">
        <f>(69-43)*0.7/30*42</f>
        <v>25.48</v>
      </c>
    </row>
    <row r="113" spans="1:15">
      <c r="A113" s="44" t="s">
        <v>337</v>
      </c>
      <c r="B113" s="44"/>
      <c r="C113" s="35">
        <v>45342</v>
      </c>
      <c r="D113" s="35">
        <v>44977</v>
      </c>
      <c r="E113" s="4">
        <v>45342</v>
      </c>
      <c r="F113" s="40"/>
      <c r="G113" s="40"/>
      <c r="H113" s="5">
        <v>13.78</v>
      </c>
      <c r="I113" s="102"/>
      <c r="J113" s="40">
        <f>45+50</f>
        <v>95</v>
      </c>
      <c r="K113" s="40"/>
      <c r="L113" s="6">
        <v>100</v>
      </c>
      <c r="M113" s="6">
        <v>38.5</v>
      </c>
      <c r="N113" s="59">
        <f t="shared" ref="N113:N128" si="2">(L113-M113)*0.7</f>
        <v>43.05</v>
      </c>
    </row>
    <row r="114" spans="1:15">
      <c r="A114" s="44" t="s">
        <v>338</v>
      </c>
      <c r="B114" s="44"/>
      <c r="C114" s="35">
        <v>45271</v>
      </c>
      <c r="D114" s="35"/>
      <c r="E114" s="4">
        <v>45301</v>
      </c>
      <c r="F114" s="40"/>
      <c r="G114" s="40"/>
      <c r="H114" s="5">
        <v>14.26</v>
      </c>
      <c r="I114" s="102">
        <f>25/30*29</f>
        <v>24.166666666666668</v>
      </c>
      <c r="J114" s="40">
        <f>30+50</f>
        <v>80</v>
      </c>
      <c r="K114" s="40"/>
      <c r="L114" s="6">
        <v>80</v>
      </c>
      <c r="M114" s="6">
        <v>29</v>
      </c>
      <c r="N114" s="59">
        <f t="shared" si="2"/>
        <v>35.699999999999996</v>
      </c>
      <c r="O114" t="s">
        <v>339</v>
      </c>
    </row>
    <row r="115" spans="1:15">
      <c r="A115" s="44" t="s">
        <v>333</v>
      </c>
      <c r="B115" s="44"/>
      <c r="C115" s="35"/>
      <c r="D115" s="35"/>
      <c r="E115" s="4">
        <v>45336</v>
      </c>
      <c r="F115" s="40"/>
      <c r="G115" s="40"/>
      <c r="H115" s="5">
        <v>10</v>
      </c>
      <c r="I115" s="102">
        <v>0</v>
      </c>
      <c r="J115" s="40">
        <v>120</v>
      </c>
      <c r="K115" s="40"/>
      <c r="L115" s="6">
        <v>160</v>
      </c>
      <c r="M115" s="6">
        <v>72</v>
      </c>
      <c r="N115" s="59">
        <f t="shared" si="2"/>
        <v>61.599999999999994</v>
      </c>
    </row>
    <row r="116" spans="1:15">
      <c r="A116" s="44" t="s">
        <v>343</v>
      </c>
      <c r="B116" s="44"/>
      <c r="C116" s="35"/>
      <c r="D116" s="35"/>
      <c r="E116" s="4">
        <v>45336</v>
      </c>
      <c r="F116" s="40"/>
      <c r="G116" s="40"/>
      <c r="H116" s="5">
        <v>10.92</v>
      </c>
      <c r="I116" s="102"/>
      <c r="J116" s="40"/>
      <c r="K116" s="40"/>
      <c r="L116" s="6">
        <v>59</v>
      </c>
      <c r="M116" s="6">
        <v>38</v>
      </c>
      <c r="N116" s="59">
        <f t="shared" si="2"/>
        <v>14.7</v>
      </c>
    </row>
    <row r="117" spans="1:15">
      <c r="A117" s="44" t="s">
        <v>381</v>
      </c>
      <c r="B117" s="44"/>
      <c r="C117" s="35"/>
      <c r="D117" s="35">
        <v>45323</v>
      </c>
      <c r="E117" s="4">
        <v>45323</v>
      </c>
      <c r="F117" s="40"/>
      <c r="G117" s="40"/>
      <c r="H117" s="5">
        <v>10.92</v>
      </c>
      <c r="I117" s="102"/>
      <c r="J117" s="40"/>
      <c r="K117" s="40"/>
      <c r="L117" s="6">
        <v>59</v>
      </c>
      <c r="M117" s="6">
        <v>38</v>
      </c>
      <c r="N117" s="59">
        <f t="shared" si="2"/>
        <v>14.7</v>
      </c>
    </row>
    <row r="118" spans="1:15">
      <c r="A118" s="44" t="s">
        <v>345</v>
      </c>
      <c r="B118" s="44"/>
      <c r="C118" s="35"/>
      <c r="D118" s="35"/>
      <c r="E118" s="4">
        <v>45345</v>
      </c>
      <c r="F118" s="40"/>
      <c r="G118" s="40"/>
      <c r="H118" s="5">
        <v>24.2</v>
      </c>
      <c r="I118" s="102"/>
      <c r="J118" s="40">
        <v>45</v>
      </c>
      <c r="K118" s="40"/>
      <c r="L118" s="6">
        <v>90</v>
      </c>
      <c r="M118" s="6">
        <f>7+9</f>
        <v>16</v>
      </c>
      <c r="N118" s="59">
        <f t="shared" si="2"/>
        <v>51.8</v>
      </c>
    </row>
    <row r="119" spans="1:15">
      <c r="A119" s="44" t="s">
        <v>346</v>
      </c>
      <c r="B119" s="44"/>
      <c r="C119" s="35"/>
      <c r="D119" s="35"/>
      <c r="E119" s="4">
        <v>45334</v>
      </c>
      <c r="F119" s="40"/>
      <c r="G119" s="40"/>
      <c r="H119" s="5">
        <v>12.01</v>
      </c>
      <c r="I119" s="102"/>
      <c r="J119" s="40">
        <v>15</v>
      </c>
      <c r="K119" s="40"/>
      <c r="L119" s="6">
        <v>20</v>
      </c>
      <c r="M119" s="6">
        <v>9</v>
      </c>
      <c r="N119" s="70">
        <f t="shared" si="2"/>
        <v>7.6999999999999993</v>
      </c>
    </row>
    <row r="120" spans="1:15">
      <c r="A120" s="44" t="s">
        <v>361</v>
      </c>
      <c r="B120" s="44"/>
      <c r="C120" s="35"/>
      <c r="D120" s="35">
        <v>45366</v>
      </c>
      <c r="E120" s="4">
        <v>45385</v>
      </c>
      <c r="F120" s="40"/>
      <c r="G120" s="40"/>
      <c r="H120" s="5"/>
      <c r="I120" s="102">
        <f>69/30*18</f>
        <v>41.4</v>
      </c>
      <c r="J120" s="40"/>
      <c r="K120" s="40"/>
      <c r="L120" s="6">
        <v>69</v>
      </c>
      <c r="M120" s="6">
        <v>43</v>
      </c>
      <c r="N120" s="70">
        <f t="shared" si="2"/>
        <v>18.2</v>
      </c>
    </row>
    <row r="121" spans="1:15">
      <c r="A121" s="44" t="s">
        <v>365</v>
      </c>
      <c r="B121" s="44"/>
      <c r="C121" s="35"/>
      <c r="D121" s="35">
        <v>45450</v>
      </c>
      <c r="E121" s="4">
        <v>45456</v>
      </c>
      <c r="F121" s="40"/>
      <c r="G121" s="40"/>
      <c r="H121" s="5"/>
      <c r="I121" s="102">
        <f>47/30*5</f>
        <v>7.833333333333333</v>
      </c>
      <c r="J121" s="40"/>
      <c r="K121" s="40"/>
      <c r="L121" s="6">
        <v>69</v>
      </c>
      <c r="M121" s="6">
        <v>47</v>
      </c>
      <c r="N121" s="59">
        <f t="shared" si="2"/>
        <v>15.399999999999999</v>
      </c>
    </row>
    <row r="122" spans="1:15">
      <c r="A122" s="44" t="s">
        <v>358</v>
      </c>
      <c r="B122" s="44"/>
      <c r="C122" s="35"/>
      <c r="D122" s="35">
        <v>45468</v>
      </c>
      <c r="E122" s="4">
        <v>45468</v>
      </c>
      <c r="F122" s="40"/>
      <c r="G122" s="40"/>
      <c r="H122" s="5">
        <v>12.01</v>
      </c>
      <c r="I122" s="102"/>
      <c r="J122" s="40"/>
      <c r="K122" s="40"/>
      <c r="L122" s="6">
        <v>59</v>
      </c>
      <c r="M122" s="6">
        <v>38</v>
      </c>
      <c r="N122" s="59">
        <f t="shared" si="2"/>
        <v>14.7</v>
      </c>
    </row>
    <row r="123" spans="1:15">
      <c r="A123" s="44" t="s">
        <v>218</v>
      </c>
      <c r="B123" s="44"/>
      <c r="C123" s="35"/>
      <c r="D123" s="35">
        <v>45456</v>
      </c>
      <c r="E123" s="4">
        <v>45456</v>
      </c>
      <c r="F123" s="40"/>
      <c r="G123" s="40"/>
      <c r="H123" s="5">
        <v>10</v>
      </c>
      <c r="I123" s="102"/>
      <c r="J123" s="40">
        <v>45</v>
      </c>
      <c r="K123" s="40"/>
      <c r="L123" s="6">
        <v>80</v>
      </c>
      <c r="M123" s="6">
        <v>27</v>
      </c>
      <c r="N123" s="59">
        <f t="shared" si="2"/>
        <v>37.099999999999994</v>
      </c>
    </row>
    <row r="124" spans="1:15">
      <c r="A124" s="44" t="s">
        <v>366</v>
      </c>
      <c r="B124" s="44"/>
      <c r="C124" s="35"/>
      <c r="D124" s="35">
        <v>45454</v>
      </c>
      <c r="E124" s="4"/>
      <c r="F124" s="40"/>
      <c r="G124" s="40"/>
      <c r="H124" s="5"/>
      <c r="I124" s="102"/>
      <c r="J124" s="40"/>
      <c r="K124" s="40"/>
      <c r="L124" s="6">
        <v>59</v>
      </c>
      <c r="M124" s="6">
        <v>38</v>
      </c>
      <c r="N124" s="59">
        <f t="shared" si="2"/>
        <v>14.7</v>
      </c>
    </row>
    <row r="125" spans="1:15">
      <c r="A125" s="44" t="s">
        <v>64</v>
      </c>
      <c r="B125" s="44"/>
      <c r="C125" s="35"/>
      <c r="D125" s="35">
        <v>45469</v>
      </c>
      <c r="E125" s="4">
        <v>45469</v>
      </c>
      <c r="F125" s="40"/>
      <c r="G125" s="40"/>
      <c r="H125" s="5"/>
      <c r="I125" s="102"/>
      <c r="J125" s="40"/>
      <c r="K125" s="40"/>
      <c r="L125" s="6">
        <v>100</v>
      </c>
      <c r="M125" s="18">
        <v>5</v>
      </c>
      <c r="N125" s="59">
        <f t="shared" si="2"/>
        <v>66.5</v>
      </c>
    </row>
    <row r="126" spans="1:15">
      <c r="A126" s="44" t="s">
        <v>369</v>
      </c>
      <c r="B126" s="44"/>
      <c r="C126" s="35"/>
      <c r="D126" s="35">
        <v>45464</v>
      </c>
      <c r="E126" s="4">
        <v>41811</v>
      </c>
      <c r="F126" s="40"/>
      <c r="G126" s="40"/>
      <c r="H126" s="5">
        <v>24.98</v>
      </c>
      <c r="I126" s="102"/>
      <c r="J126" s="40">
        <v>15</v>
      </c>
      <c r="K126" s="40"/>
      <c r="L126" s="6">
        <v>80</v>
      </c>
      <c r="M126" s="6">
        <v>42.5</v>
      </c>
      <c r="N126" s="59">
        <f t="shared" si="2"/>
        <v>26.25</v>
      </c>
    </row>
    <row r="127" spans="1:15">
      <c r="A127" s="44" t="s">
        <v>370</v>
      </c>
      <c r="B127" s="44"/>
      <c r="C127" s="35"/>
      <c r="D127" s="35">
        <v>45444</v>
      </c>
      <c r="E127" s="4">
        <v>41791</v>
      </c>
      <c r="F127" s="40"/>
      <c r="G127" s="40"/>
      <c r="H127" s="5">
        <v>12.98</v>
      </c>
      <c r="I127" s="102"/>
      <c r="J127" s="40">
        <v>30</v>
      </c>
      <c r="K127" s="40"/>
      <c r="L127" s="6">
        <v>65</v>
      </c>
      <c r="M127" s="6">
        <v>18</v>
      </c>
      <c r="N127" s="59">
        <f t="shared" si="2"/>
        <v>32.9</v>
      </c>
    </row>
    <row r="128" spans="1:15">
      <c r="A128" s="44" t="s">
        <v>375</v>
      </c>
      <c r="B128" s="44"/>
      <c r="C128" s="35"/>
      <c r="D128" s="35">
        <v>45471</v>
      </c>
      <c r="E128" s="35">
        <v>45471</v>
      </c>
      <c r="F128" s="40"/>
      <c r="G128" s="40"/>
      <c r="H128" s="5">
        <f>10+12.01</f>
        <v>22.009999999999998</v>
      </c>
      <c r="I128" s="102"/>
      <c r="J128" s="40">
        <v>30</v>
      </c>
      <c r="K128" s="40"/>
      <c r="L128" s="6">
        <v>90</v>
      </c>
      <c r="M128" s="18">
        <f>38.5+1+18</f>
        <v>57.5</v>
      </c>
      <c r="N128" s="70">
        <f t="shared" si="2"/>
        <v>22.75</v>
      </c>
    </row>
    <row r="129" spans="1:16">
      <c r="A129" s="44" t="s">
        <v>83</v>
      </c>
      <c r="B129" s="44"/>
      <c r="C129" s="35"/>
      <c r="D129" s="35">
        <v>45482</v>
      </c>
      <c r="E129" s="35">
        <v>45482</v>
      </c>
      <c r="F129" s="40"/>
      <c r="G129" s="40"/>
      <c r="H129" s="5"/>
      <c r="I129" s="102"/>
      <c r="J129" s="40"/>
      <c r="K129" s="40"/>
      <c r="L129" s="6">
        <v>69</v>
      </c>
      <c r="M129" s="18">
        <v>43</v>
      </c>
      <c r="N129" s="70">
        <f>(L129-M129)*0.7</f>
        <v>18.2</v>
      </c>
    </row>
    <row r="130" spans="1:16">
      <c r="A130" s="44" t="s">
        <v>383</v>
      </c>
      <c r="B130" s="44"/>
      <c r="C130" s="35"/>
      <c r="D130" s="35">
        <v>45434</v>
      </c>
      <c r="E130" s="35">
        <v>45513</v>
      </c>
      <c r="F130" s="40"/>
      <c r="G130" s="40"/>
      <c r="H130" s="5">
        <v>14.58</v>
      </c>
      <c r="I130" s="102"/>
      <c r="J130" s="40"/>
      <c r="K130" s="40"/>
      <c r="L130" s="6">
        <v>69</v>
      </c>
      <c r="M130" s="18">
        <v>43</v>
      </c>
      <c r="N130" s="70">
        <f>(L130-M130)*0.7</f>
        <v>18.2</v>
      </c>
    </row>
    <row r="131" spans="1:16">
      <c r="A131" s="10" t="s">
        <v>384</v>
      </c>
      <c r="B131" s="44"/>
      <c r="C131" s="35"/>
      <c r="D131" s="35"/>
      <c r="E131" s="35">
        <v>45513</v>
      </c>
      <c r="F131" s="40"/>
      <c r="G131" s="40"/>
      <c r="H131" s="5"/>
      <c r="I131" s="102"/>
      <c r="J131" s="40">
        <v>60</v>
      </c>
      <c r="K131" s="40"/>
      <c r="L131" s="6">
        <v>105</v>
      </c>
      <c r="M131" s="6">
        <v>36</v>
      </c>
      <c r="N131" s="70">
        <f>(L131-M131)*0.7/30*21</f>
        <v>33.809999999999995</v>
      </c>
    </row>
    <row r="132" spans="1:16">
      <c r="C132" s="36"/>
      <c r="D132" s="36"/>
      <c r="F132" s="28"/>
      <c r="G132" s="28"/>
      <c r="H132" s="30"/>
      <c r="I132" s="104"/>
      <c r="M132" s="62" t="s">
        <v>4</v>
      </c>
      <c r="N132" s="18">
        <f>SUM(N2:N131)</f>
        <v>4690.3899999999985</v>
      </c>
    </row>
    <row r="133" spans="1:16">
      <c r="C133" s="36"/>
      <c r="D133" s="36"/>
      <c r="F133" s="28"/>
      <c r="G133" s="28"/>
      <c r="H133" s="30"/>
      <c r="I133" s="104"/>
      <c r="M133" s="61" t="s">
        <v>251</v>
      </c>
      <c r="N133" s="6">
        <f>N132-N146-J131</f>
        <v>4306.1899999999987</v>
      </c>
    </row>
    <row r="134" spans="1:16">
      <c r="C134" s="36"/>
      <c r="D134" s="36"/>
      <c r="F134" s="28"/>
      <c r="G134" s="28"/>
      <c r="H134" s="30"/>
      <c r="I134" s="104"/>
    </row>
    <row r="136" spans="1:16">
      <c r="A136" s="28"/>
      <c r="B136" s="28"/>
      <c r="E136" s="15"/>
      <c r="F136" s="1"/>
      <c r="G136" s="1"/>
      <c r="H136" s="1"/>
      <c r="J136" s="1"/>
      <c r="K136" s="1"/>
      <c r="L136" s="1"/>
      <c r="M136" s="1"/>
      <c r="N136" s="29"/>
    </row>
    <row r="137" spans="1:16">
      <c r="L137" s="1"/>
      <c r="M137" s="1"/>
    </row>
    <row r="138" spans="1:16">
      <c r="H138" s="30"/>
      <c r="L138" s="1"/>
      <c r="M138"/>
    </row>
    <row r="139" spans="1:16">
      <c r="M139"/>
      <c r="P139" s="42"/>
    </row>
    <row r="140" spans="1:16">
      <c r="L140" s="1" t="s">
        <v>387</v>
      </c>
      <c r="N140">
        <v>300.36</v>
      </c>
    </row>
    <row r="141" spans="1:16">
      <c r="L141" s="1" t="s">
        <v>394</v>
      </c>
      <c r="N141">
        <v>154.36000000000001</v>
      </c>
      <c r="P141" s="42"/>
    </row>
    <row r="142" spans="1:16">
      <c r="L142" s="1" t="s">
        <v>396</v>
      </c>
      <c r="N142">
        <v>60</v>
      </c>
      <c r="O142" t="s">
        <v>395</v>
      </c>
    </row>
    <row r="143" spans="1:16">
      <c r="L143" s="1" t="s">
        <v>388</v>
      </c>
      <c r="N143">
        <v>41.44</v>
      </c>
      <c r="P143" s="42"/>
    </row>
    <row r="144" spans="1:16">
      <c r="L144" s="1"/>
    </row>
    <row r="145" spans="12:15">
      <c r="L145" s="1" t="s">
        <v>392</v>
      </c>
      <c r="N145">
        <v>68.400000000000006</v>
      </c>
      <c r="O145" t="s">
        <v>393</v>
      </c>
    </row>
    <row r="146" spans="12:15">
      <c r="N146">
        <f>SUM(N141:N145)</f>
        <v>324.20000000000005</v>
      </c>
    </row>
  </sheetData>
  <autoFilter ref="A1:P133">
    <sortState ref="A2:P97">
      <sortCondition ref="B1:B97"/>
    </sortState>
  </autoFilter>
  <pageMargins left="0.7" right="0.7" top="0.75" bottom="0.75" header="0.3" footer="0.3"/>
  <pageSetup paperSize="9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>
  <dimension ref="A1:P148"/>
  <sheetViews>
    <sheetView topLeftCell="A128" workbookViewId="0">
      <selection activeCell="A134" sqref="A134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2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44</v>
      </c>
      <c r="B19" s="2"/>
      <c r="C19" s="4">
        <v>43196</v>
      </c>
      <c r="D19" s="4"/>
      <c r="E19" s="4">
        <v>43250</v>
      </c>
      <c r="F19" s="5"/>
      <c r="G19" s="49"/>
      <c r="H19" s="5">
        <v>13.78</v>
      </c>
      <c r="I19" s="102">
        <f>25*24/30+25</f>
        <v>45</v>
      </c>
      <c r="J19" s="5"/>
      <c r="K19" s="5"/>
      <c r="L19" s="6">
        <v>11</v>
      </c>
      <c r="M19" s="61">
        <v>25</v>
      </c>
      <c r="N19" s="6">
        <v>9.7999999999999989</v>
      </c>
    </row>
    <row r="20" spans="1:15">
      <c r="A20" s="22" t="s">
        <v>47</v>
      </c>
      <c r="B20" s="22"/>
      <c r="C20" s="4">
        <v>43355</v>
      </c>
      <c r="D20" s="4"/>
      <c r="E20" s="4">
        <v>43277</v>
      </c>
      <c r="F20" s="5"/>
      <c r="G20" s="49"/>
      <c r="H20" s="5">
        <v>19.98</v>
      </c>
      <c r="I20" s="102">
        <f>36*2+36/30*16</f>
        <v>91.2</v>
      </c>
      <c r="J20" s="5"/>
      <c r="K20" s="5"/>
      <c r="L20" s="6">
        <v>105</v>
      </c>
      <c r="M20" s="61">
        <v>36</v>
      </c>
      <c r="N20" s="6">
        <f t="shared" si="0"/>
        <v>48.3</v>
      </c>
    </row>
    <row r="21" spans="1:15">
      <c r="A21" s="22" t="s">
        <v>48</v>
      </c>
      <c r="B21" s="22"/>
      <c r="C21" s="4">
        <v>43367</v>
      </c>
      <c r="D21" s="4"/>
      <c r="E21" s="4">
        <v>43284</v>
      </c>
      <c r="F21" s="5"/>
      <c r="G21" s="49"/>
      <c r="H21" s="5">
        <v>9.1</v>
      </c>
      <c r="I21" s="102">
        <f>25+25/30*27</f>
        <v>47.5</v>
      </c>
      <c r="J21" s="5"/>
      <c r="K21" s="5"/>
      <c r="L21" s="6">
        <v>75</v>
      </c>
      <c r="M21" s="61">
        <v>25</v>
      </c>
      <c r="N21" s="6">
        <f t="shared" si="0"/>
        <v>35</v>
      </c>
    </row>
    <row r="22" spans="1:15">
      <c r="A22" s="2" t="s">
        <v>45</v>
      </c>
      <c r="B22" s="2"/>
      <c r="C22" s="4"/>
      <c r="D22" s="4"/>
      <c r="E22" s="4">
        <v>43286</v>
      </c>
      <c r="F22" s="5"/>
      <c r="G22" s="49"/>
      <c r="H22" s="5">
        <v>11.56</v>
      </c>
      <c r="I22" s="102"/>
      <c r="J22" s="5"/>
      <c r="K22" s="5"/>
      <c r="L22" s="6">
        <v>150</v>
      </c>
      <c r="M22" s="61">
        <v>76</v>
      </c>
      <c r="N22" s="6">
        <f t="shared" si="0"/>
        <v>51.8</v>
      </c>
      <c r="O22" s="20"/>
    </row>
    <row r="23" spans="1:15">
      <c r="A23" s="22" t="s">
        <v>49</v>
      </c>
      <c r="B23" s="22"/>
      <c r="C23" s="4">
        <v>43367</v>
      </c>
      <c r="D23" s="4"/>
      <c r="E23" s="4">
        <v>43291</v>
      </c>
      <c r="F23" s="5"/>
      <c r="G23" s="49"/>
      <c r="H23" s="5">
        <v>10.039999999999999</v>
      </c>
      <c r="I23" s="102">
        <f>50+25/30*14</f>
        <v>61.666666666666671</v>
      </c>
      <c r="J23" s="5"/>
      <c r="K23" s="5"/>
      <c r="L23" s="6">
        <v>50</v>
      </c>
      <c r="M23" s="61">
        <v>22</v>
      </c>
      <c r="N23" s="18">
        <f t="shared" si="0"/>
        <v>19.599999999999998</v>
      </c>
    </row>
    <row r="24" spans="1:15">
      <c r="A24" s="22" t="s">
        <v>51</v>
      </c>
      <c r="B24" s="22"/>
      <c r="C24" s="4">
        <v>43358</v>
      </c>
      <c r="D24" s="4"/>
      <c r="E24" s="4">
        <v>43291</v>
      </c>
      <c r="F24" s="5"/>
      <c r="G24" s="49"/>
      <c r="H24" s="5">
        <v>10.039999999999999</v>
      </c>
      <c r="I24" s="102">
        <f>50+25/30*5</f>
        <v>54.166666666666664</v>
      </c>
      <c r="J24" s="5"/>
      <c r="K24" s="5"/>
      <c r="L24" s="6">
        <v>75</v>
      </c>
      <c r="M24" s="61">
        <v>25</v>
      </c>
      <c r="N24" s="6">
        <f t="shared" si="0"/>
        <v>35</v>
      </c>
    </row>
    <row r="25" spans="1:15">
      <c r="A25" s="22" t="s">
        <v>52</v>
      </c>
      <c r="B25" s="22"/>
      <c r="C25" s="4">
        <v>43367</v>
      </c>
      <c r="D25" s="4"/>
      <c r="E25" s="4">
        <v>43308</v>
      </c>
      <c r="F25" s="5"/>
      <c r="G25" s="49"/>
      <c r="H25" s="5">
        <v>10.86</v>
      </c>
      <c r="I25" s="102">
        <f>25+25/30*27</f>
        <v>47.5</v>
      </c>
      <c r="J25" s="5"/>
      <c r="K25" s="5"/>
      <c r="L25" s="6">
        <v>75</v>
      </c>
      <c r="M25" s="61">
        <v>25</v>
      </c>
      <c r="N25" s="27">
        <f t="shared" si="0"/>
        <v>35</v>
      </c>
    </row>
    <row r="26" spans="1:15">
      <c r="A26" s="22" t="s">
        <v>50</v>
      </c>
      <c r="B26" s="22"/>
      <c r="C26" s="4">
        <v>43367</v>
      </c>
      <c r="D26" s="4"/>
      <c r="E26" s="4">
        <v>43312</v>
      </c>
      <c r="F26" s="5"/>
      <c r="G26" s="49"/>
      <c r="H26" s="5">
        <v>10.86</v>
      </c>
      <c r="I26" s="102">
        <f>25+25/30*24</f>
        <v>45</v>
      </c>
      <c r="J26" s="5"/>
      <c r="K26" s="5"/>
      <c r="L26" s="6">
        <v>70</v>
      </c>
      <c r="M26" s="61">
        <v>25</v>
      </c>
      <c r="N26" s="6">
        <f t="shared" si="0"/>
        <v>31.499999999999996</v>
      </c>
    </row>
    <row r="27" spans="1:15">
      <c r="A27" s="22" t="s">
        <v>55</v>
      </c>
      <c r="B27" s="22"/>
      <c r="C27" s="4">
        <v>43363</v>
      </c>
      <c r="D27" s="4"/>
      <c r="E27" s="4">
        <v>43440</v>
      </c>
      <c r="F27" s="5"/>
      <c r="G27" s="49"/>
      <c r="H27" s="5">
        <v>14.11</v>
      </c>
      <c r="I27" s="102">
        <f>25*2+25*16/30</f>
        <v>63.333333333333336</v>
      </c>
      <c r="J27" s="5"/>
      <c r="K27" s="5"/>
      <c r="L27" s="6">
        <v>75</v>
      </c>
      <c r="M27" s="61">
        <v>25</v>
      </c>
      <c r="N27" s="6">
        <f t="shared" si="0"/>
        <v>35</v>
      </c>
    </row>
    <row r="28" spans="1:15">
      <c r="A28" s="22" t="s">
        <v>54</v>
      </c>
      <c r="B28" s="22"/>
      <c r="C28" s="4">
        <v>43167</v>
      </c>
      <c r="D28" s="4"/>
      <c r="E28" s="4">
        <v>43455</v>
      </c>
      <c r="F28" s="5"/>
      <c r="G28" s="49"/>
      <c r="H28" s="5">
        <v>10.86</v>
      </c>
      <c r="I28" s="102">
        <f>9*25+25*13/30</f>
        <v>235.83333333333334</v>
      </c>
      <c r="J28" s="5"/>
      <c r="K28" s="5"/>
      <c r="L28" s="6">
        <v>90</v>
      </c>
      <c r="M28" s="61">
        <v>36</v>
      </c>
      <c r="N28" s="6">
        <f t="shared" si="0"/>
        <v>37.799999999999997</v>
      </c>
    </row>
    <row r="29" spans="1:15">
      <c r="A29" s="22" t="s">
        <v>57</v>
      </c>
      <c r="B29" s="55"/>
      <c r="C29" s="31">
        <v>43478</v>
      </c>
      <c r="D29" s="31"/>
      <c r="E29" s="4">
        <v>43536</v>
      </c>
      <c r="F29" s="5"/>
      <c r="G29" s="49"/>
      <c r="H29" s="5">
        <v>10.86</v>
      </c>
      <c r="I29" s="102">
        <v>25</v>
      </c>
      <c r="J29" s="5"/>
      <c r="K29" s="5"/>
      <c r="L29" s="6">
        <v>70</v>
      </c>
      <c r="M29" s="61">
        <v>25</v>
      </c>
      <c r="N29" s="6">
        <f t="shared" si="0"/>
        <v>31.499999999999996</v>
      </c>
    </row>
    <row r="30" spans="1:15">
      <c r="A30" s="22" t="s">
        <v>59</v>
      </c>
      <c r="B30" s="22"/>
      <c r="C30" s="4">
        <v>43528</v>
      </c>
      <c r="D30" s="4"/>
      <c r="E30" s="4">
        <v>43538</v>
      </c>
      <c r="F30" s="5"/>
      <c r="G30" s="49"/>
      <c r="H30" s="5">
        <v>14.92</v>
      </c>
      <c r="I30" s="102">
        <f>77/30*10</f>
        <v>25.666666666666668</v>
      </c>
      <c r="J30" s="5"/>
      <c r="K30" s="5"/>
      <c r="L30" s="6">
        <v>169</v>
      </c>
      <c r="M30" s="61">
        <f>64+11+2</f>
        <v>77</v>
      </c>
      <c r="N30" s="6">
        <f t="shared" si="0"/>
        <v>64.399999999999991</v>
      </c>
    </row>
    <row r="31" spans="1:15">
      <c r="A31" s="22" t="s">
        <v>58</v>
      </c>
      <c r="B31" s="22"/>
      <c r="C31" s="4">
        <v>43534</v>
      </c>
      <c r="D31" s="4"/>
      <c r="E31" s="4">
        <v>43542</v>
      </c>
      <c r="F31" s="5"/>
      <c r="G31" s="49"/>
      <c r="H31" s="5">
        <f>10.86*2</f>
        <v>21.72</v>
      </c>
      <c r="I31" s="102">
        <v>0</v>
      </c>
      <c r="J31" s="5"/>
      <c r="K31" s="5"/>
      <c r="L31" s="6">
        <v>60</v>
      </c>
      <c r="M31" s="61">
        <v>33</v>
      </c>
      <c r="N31" s="6">
        <v>18.899999999999999</v>
      </c>
    </row>
    <row r="32" spans="1:15">
      <c r="A32" s="22" t="s">
        <v>61</v>
      </c>
      <c r="B32" s="22"/>
      <c r="C32" s="4">
        <v>43482</v>
      </c>
      <c r="D32" s="4"/>
      <c r="E32" s="4">
        <v>43542</v>
      </c>
      <c r="F32" s="5"/>
      <c r="G32" s="49"/>
      <c r="H32" s="5">
        <v>11.1</v>
      </c>
      <c r="I32" s="102">
        <f>25*2</f>
        <v>50</v>
      </c>
      <c r="J32" s="5"/>
      <c r="K32" s="5"/>
      <c r="L32" s="6">
        <v>70</v>
      </c>
      <c r="M32" s="61">
        <v>26</v>
      </c>
      <c r="N32" s="6">
        <f t="shared" si="0"/>
        <v>30.799999999999997</v>
      </c>
    </row>
    <row r="33" spans="1:16">
      <c r="A33" s="22" t="s">
        <v>67</v>
      </c>
      <c r="B33" s="22"/>
      <c r="C33" s="4">
        <v>43600</v>
      </c>
      <c r="D33" s="4"/>
      <c r="E33" s="4">
        <v>43629</v>
      </c>
      <c r="F33" s="5"/>
      <c r="G33" s="49"/>
      <c r="H33" s="5">
        <f>10.86*2</f>
        <v>21.72</v>
      </c>
      <c r="I33" s="102">
        <f>22/30*58</f>
        <v>42.533333333333331</v>
      </c>
      <c r="J33" s="5">
        <v>50</v>
      </c>
      <c r="K33" s="5">
        <f>H33+I33+J33</f>
        <v>114.25333333333333</v>
      </c>
      <c r="L33" s="6">
        <v>60</v>
      </c>
      <c r="M33" s="61">
        <v>25</v>
      </c>
      <c r="N33" s="6">
        <v>0</v>
      </c>
    </row>
    <row r="34" spans="1:16">
      <c r="A34" s="22" t="s">
        <v>66</v>
      </c>
      <c r="B34" s="22"/>
      <c r="C34" s="4">
        <v>43600</v>
      </c>
      <c r="D34" s="4"/>
      <c r="E34" s="4">
        <v>43629</v>
      </c>
      <c r="F34" s="5"/>
      <c r="G34" s="49"/>
      <c r="H34" s="5">
        <f>10.86</f>
        <v>10.86</v>
      </c>
      <c r="I34" s="102">
        <f>39/30*58</f>
        <v>75.400000000000006</v>
      </c>
      <c r="J34" s="5"/>
      <c r="K34" s="5">
        <f>H34+I34</f>
        <v>86.26</v>
      </c>
      <c r="L34" s="6">
        <v>110</v>
      </c>
      <c r="M34" s="61">
        <f>25+11+3</f>
        <v>39</v>
      </c>
      <c r="N34" s="6">
        <v>0</v>
      </c>
      <c r="O34" t="s">
        <v>73</v>
      </c>
    </row>
    <row r="35" spans="1:16">
      <c r="A35" s="22" t="s">
        <v>64</v>
      </c>
      <c r="B35" s="22"/>
      <c r="C35" s="4">
        <v>43627</v>
      </c>
      <c r="D35" s="4"/>
      <c r="E35" s="4">
        <v>43629</v>
      </c>
      <c r="F35" s="5"/>
      <c r="G35" s="49"/>
      <c r="H35" s="5">
        <v>10.86</v>
      </c>
      <c r="I35" s="102">
        <f>25/30*2</f>
        <v>1.6666666666666667</v>
      </c>
      <c r="J35" s="5"/>
      <c r="K35" s="5">
        <f>H35+I35</f>
        <v>12.526666666666666</v>
      </c>
      <c r="L35" s="6">
        <v>200</v>
      </c>
      <c r="M35" s="61">
        <v>11</v>
      </c>
      <c r="N35" s="5">
        <f t="shared" ref="N35:N46" si="1">(L35-M35)*0.7</f>
        <v>132.29999999999998</v>
      </c>
    </row>
    <row r="36" spans="1:16">
      <c r="A36" s="22" t="s">
        <v>65</v>
      </c>
      <c r="B36" s="22"/>
      <c r="C36" s="4">
        <v>43622</v>
      </c>
      <c r="D36" s="4"/>
      <c r="E36" s="4">
        <v>43650</v>
      </c>
      <c r="F36" s="5"/>
      <c r="G36" s="49"/>
      <c r="H36" s="5">
        <v>10.86</v>
      </c>
      <c r="I36" s="102"/>
      <c r="J36" s="5"/>
      <c r="K36" s="5"/>
      <c r="L36" s="6">
        <v>120</v>
      </c>
      <c r="M36" s="61">
        <v>60</v>
      </c>
      <c r="N36" s="6">
        <f t="shared" si="1"/>
        <v>42</v>
      </c>
    </row>
    <row r="37" spans="1:16">
      <c r="A37" s="22" t="s">
        <v>71</v>
      </c>
      <c r="B37" s="22"/>
      <c r="C37" s="4">
        <v>43635</v>
      </c>
      <c r="D37" s="4"/>
      <c r="E37" s="4">
        <v>43662</v>
      </c>
      <c r="F37" s="5"/>
      <c r="G37" s="49"/>
      <c r="H37" s="5">
        <f>10.86*2</f>
        <v>21.72</v>
      </c>
      <c r="I37" s="102"/>
      <c r="J37" s="5"/>
      <c r="K37" s="5"/>
      <c r="L37" s="6">
        <v>70</v>
      </c>
      <c r="M37" s="61">
        <v>26</v>
      </c>
      <c r="N37" s="6">
        <f t="shared" si="1"/>
        <v>30.799999999999997</v>
      </c>
      <c r="O37" t="s">
        <v>72</v>
      </c>
    </row>
    <row r="38" spans="1:16">
      <c r="A38" s="2" t="s">
        <v>75</v>
      </c>
      <c r="B38" s="2"/>
      <c r="C38" s="4">
        <v>43656</v>
      </c>
      <c r="D38" s="4"/>
      <c r="E38" s="4">
        <v>43711</v>
      </c>
      <c r="F38" s="5"/>
      <c r="G38" s="49"/>
      <c r="H38" s="5">
        <v>10.86</v>
      </c>
      <c r="I38" s="102">
        <f>36/30*48</f>
        <v>57.599999999999994</v>
      </c>
      <c r="J38" s="5"/>
      <c r="K38" s="5"/>
      <c r="L38" s="6">
        <v>105</v>
      </c>
      <c r="M38" s="61">
        <v>36</v>
      </c>
      <c r="N38" s="6">
        <f t="shared" si="1"/>
        <v>48.3</v>
      </c>
    </row>
    <row r="39" spans="1:16">
      <c r="A39" s="2" t="s">
        <v>76</v>
      </c>
      <c r="B39" s="2"/>
      <c r="C39" s="4">
        <v>43677</v>
      </c>
      <c r="D39" s="4"/>
      <c r="E39" s="4">
        <v>43713</v>
      </c>
      <c r="F39" s="5"/>
      <c r="G39" s="49"/>
      <c r="H39" s="5">
        <v>24.06</v>
      </c>
      <c r="I39" s="102">
        <f>80/30*35</f>
        <v>93.333333333333329</v>
      </c>
      <c r="J39" s="5">
        <v>40</v>
      </c>
      <c r="K39" s="5"/>
      <c r="L39" s="6">
        <v>149</v>
      </c>
      <c r="M39" s="61">
        <v>80</v>
      </c>
      <c r="N39" s="6">
        <f t="shared" si="1"/>
        <v>48.3</v>
      </c>
      <c r="O39" t="s">
        <v>79</v>
      </c>
    </row>
    <row r="40" spans="1:16">
      <c r="A40" s="10" t="s">
        <v>81</v>
      </c>
      <c r="B40" s="10"/>
      <c r="C40" s="11">
        <v>45444</v>
      </c>
      <c r="D40" s="11"/>
      <c r="E40" s="11">
        <v>45408</v>
      </c>
      <c r="F40" s="12"/>
      <c r="G40" s="12"/>
      <c r="H40" s="12"/>
      <c r="I40" s="106">
        <f>43/30*34</f>
        <v>48.733333333333334</v>
      </c>
      <c r="J40" s="12"/>
      <c r="K40" s="12"/>
      <c r="L40" s="12">
        <v>129</v>
      </c>
      <c r="M40" s="107">
        <v>61</v>
      </c>
      <c r="N40" s="12">
        <f t="shared" si="1"/>
        <v>47.599999999999994</v>
      </c>
    </row>
    <row r="41" spans="1:16">
      <c r="A41" s="22" t="s">
        <v>87</v>
      </c>
      <c r="B41" s="22"/>
      <c r="C41" s="35">
        <v>43878</v>
      </c>
      <c r="D41" s="35"/>
      <c r="E41" s="35">
        <v>43892</v>
      </c>
      <c r="F41" s="5"/>
      <c r="G41" s="49"/>
      <c r="H41" s="5">
        <v>12.19</v>
      </c>
      <c r="I41" s="102"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22" t="s">
        <v>89</v>
      </c>
      <c r="B42" s="22"/>
      <c r="C42" s="35">
        <v>43908</v>
      </c>
      <c r="D42" s="35"/>
      <c r="E42" s="35">
        <v>43893</v>
      </c>
      <c r="F42" s="5"/>
      <c r="G42" s="49"/>
      <c r="H42" s="5">
        <v>9.6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6">
      <c r="A43" s="22" t="s">
        <v>85</v>
      </c>
      <c r="B43" s="22"/>
      <c r="C43" s="35">
        <v>43881</v>
      </c>
      <c r="D43" s="35"/>
      <c r="E43" s="35">
        <v>43895</v>
      </c>
      <c r="F43" s="5"/>
      <c r="G43" s="49"/>
      <c r="H43" s="5">
        <v>9.14</v>
      </c>
      <c r="I43" s="102">
        <f>11/30*15</f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6">
      <c r="A44" s="39" t="s">
        <v>82</v>
      </c>
      <c r="B44" s="28"/>
      <c r="C44" s="36">
        <v>40235</v>
      </c>
      <c r="D44" s="36"/>
      <c r="E44" s="36">
        <v>43901</v>
      </c>
      <c r="F44" s="5"/>
      <c r="G44" s="34"/>
      <c r="H44" s="37">
        <v>9.6</v>
      </c>
      <c r="I44" s="102">
        <f>11/2</f>
        <v>5.5</v>
      </c>
      <c r="J44" s="5"/>
      <c r="K44" s="5"/>
      <c r="L44" s="17">
        <v>25</v>
      </c>
      <c r="M44" s="63">
        <v>11</v>
      </c>
      <c r="N44" s="26">
        <f t="shared" si="1"/>
        <v>9.7999999999999989</v>
      </c>
    </row>
    <row r="45" spans="1:16">
      <c r="A45" s="22" t="s">
        <v>80</v>
      </c>
      <c r="B45" s="22"/>
      <c r="C45" s="35">
        <v>43873</v>
      </c>
      <c r="D45" s="35"/>
      <c r="E45" s="35">
        <v>43910</v>
      </c>
      <c r="F45" s="5"/>
      <c r="G45" s="49"/>
      <c r="H45" s="5">
        <v>21.84</v>
      </c>
      <c r="I45" s="102">
        <f>56/30*38</f>
        <v>70.933333333333337</v>
      </c>
      <c r="J45" s="5"/>
      <c r="K45" s="5"/>
      <c r="L45" s="6">
        <v>120</v>
      </c>
      <c r="M45" s="61">
        <v>56</v>
      </c>
      <c r="N45" s="6">
        <f t="shared" si="1"/>
        <v>44.8</v>
      </c>
    </row>
    <row r="46" spans="1:16">
      <c r="A46" s="22" t="s">
        <v>88</v>
      </c>
      <c r="B46" s="22"/>
      <c r="C46" s="35">
        <v>43855</v>
      </c>
      <c r="D46" s="35"/>
      <c r="E46" s="35">
        <v>43941</v>
      </c>
      <c r="F46" s="5"/>
      <c r="G46" s="49"/>
      <c r="H46" s="5">
        <v>13.93</v>
      </c>
      <c r="I46" s="102">
        <f>56/30*85</f>
        <v>158.66666666666666</v>
      </c>
      <c r="J46" s="5"/>
      <c r="K46" s="5"/>
      <c r="L46" s="6">
        <v>110</v>
      </c>
      <c r="M46" s="61">
        <v>56</v>
      </c>
      <c r="N46" s="6">
        <f t="shared" si="1"/>
        <v>37.799999999999997</v>
      </c>
    </row>
    <row r="47" spans="1:16">
      <c r="A47" s="22" t="s">
        <v>90</v>
      </c>
      <c r="B47" s="22"/>
      <c r="C47" s="35" t="s">
        <v>96</v>
      </c>
      <c r="D47" s="35"/>
      <c r="E47" s="35">
        <v>44015</v>
      </c>
      <c r="F47" s="5" t="s">
        <v>160</v>
      </c>
      <c r="G47" s="49">
        <v>12.5</v>
      </c>
      <c r="H47" s="5">
        <v>11.29</v>
      </c>
      <c r="I47" s="102">
        <f>100</f>
        <v>100</v>
      </c>
      <c r="J47" s="5"/>
      <c r="K47" s="5"/>
      <c r="L47" s="6">
        <v>105</v>
      </c>
      <c r="M47" s="61">
        <f>25+11+22</f>
        <v>58</v>
      </c>
      <c r="N47" s="6">
        <f>12.5+(92.5-M47)*0.7</f>
        <v>36.65</v>
      </c>
      <c r="P47" s="41"/>
    </row>
    <row r="48" spans="1:16">
      <c r="A48" s="22" t="s">
        <v>97</v>
      </c>
      <c r="B48" s="22"/>
      <c r="C48" s="35">
        <v>43990</v>
      </c>
      <c r="D48" s="35"/>
      <c r="E48" s="35">
        <v>44036</v>
      </c>
      <c r="F48" s="5"/>
      <c r="G48" s="49"/>
      <c r="H48" s="5">
        <v>8.75</v>
      </c>
      <c r="I48" s="102">
        <f>56/30*46</f>
        <v>85.866666666666674</v>
      </c>
      <c r="J48" s="5"/>
      <c r="K48" s="5"/>
      <c r="L48" s="6">
        <v>110</v>
      </c>
      <c r="M48" s="61">
        <f>45+11</f>
        <v>56</v>
      </c>
      <c r="N48" s="6">
        <f>(L48-M48)*0.7</f>
        <v>37.799999999999997</v>
      </c>
    </row>
    <row r="49" spans="1:16">
      <c r="A49" s="22" t="s">
        <v>95</v>
      </c>
      <c r="B49" s="22"/>
      <c r="C49" s="35">
        <v>44028</v>
      </c>
      <c r="D49" s="35"/>
      <c r="E49" s="35">
        <v>44040</v>
      </c>
      <c r="F49" s="5"/>
      <c r="G49" s="49"/>
      <c r="H49" s="5">
        <v>8.75</v>
      </c>
      <c r="I49" s="102">
        <f>41/30*12</f>
        <v>16.399999999999999</v>
      </c>
      <c r="J49" s="5"/>
      <c r="K49" s="5"/>
      <c r="L49" s="6">
        <v>60</v>
      </c>
      <c r="M49" s="61">
        <v>41</v>
      </c>
      <c r="N49" s="6">
        <f>(L49-M49)*0.7</f>
        <v>13.299999999999999</v>
      </c>
    </row>
    <row r="50" spans="1:16">
      <c r="A50" s="22" t="s">
        <v>94</v>
      </c>
      <c r="B50" s="22"/>
      <c r="C50" s="35">
        <v>44011</v>
      </c>
      <c r="D50" s="35"/>
      <c r="E50" s="35">
        <v>44084</v>
      </c>
      <c r="F50" s="5"/>
      <c r="G50" s="49"/>
      <c r="H50" s="5">
        <v>11.29</v>
      </c>
      <c r="I50" s="102">
        <f>25/30*71</f>
        <v>59.166666666666671</v>
      </c>
      <c r="J50" s="5"/>
      <c r="K50" s="5"/>
      <c r="L50" s="6">
        <v>40</v>
      </c>
      <c r="M50" s="61">
        <v>25</v>
      </c>
      <c r="N50" s="6">
        <f>(L50-M50)*0.7</f>
        <v>10.5</v>
      </c>
    </row>
    <row r="51" spans="1:16">
      <c r="A51" s="2" t="s">
        <v>99</v>
      </c>
      <c r="B51" s="2"/>
      <c r="C51" s="35">
        <v>44084</v>
      </c>
      <c r="D51" s="35"/>
      <c r="E51" s="35">
        <v>44105</v>
      </c>
      <c r="F51" s="5" t="s">
        <v>160</v>
      </c>
      <c r="G51" s="49">
        <v>5</v>
      </c>
      <c r="H51" s="5">
        <v>12.24</v>
      </c>
      <c r="I51" s="102">
        <f>25/30*20</f>
        <v>16.666666666666668</v>
      </c>
      <c r="J51" s="5"/>
      <c r="K51" s="5"/>
      <c r="L51" s="43">
        <v>40</v>
      </c>
      <c r="M51" s="61">
        <v>22</v>
      </c>
      <c r="N51" s="6">
        <f>5+13*0.7</f>
        <v>14.1</v>
      </c>
      <c r="P51" s="41"/>
    </row>
    <row r="52" spans="1:16">
      <c r="A52" s="2" t="s">
        <v>102</v>
      </c>
      <c r="B52" s="2"/>
      <c r="C52" s="4" t="s">
        <v>103</v>
      </c>
      <c r="D52" s="4"/>
      <c r="E52" s="4">
        <v>44110</v>
      </c>
      <c r="F52" s="5" t="s">
        <v>160</v>
      </c>
      <c r="G52" s="49">
        <v>10</v>
      </c>
      <c r="H52" s="5">
        <v>36.65</v>
      </c>
      <c r="I52" s="102">
        <f>115/30*26</f>
        <v>99.666666666666671</v>
      </c>
      <c r="J52" s="5"/>
      <c r="K52" s="5"/>
      <c r="L52" s="6">
        <v>180</v>
      </c>
      <c r="M52" s="61">
        <v>115</v>
      </c>
      <c r="N52" s="6">
        <f>10+55*0.7</f>
        <v>48.5</v>
      </c>
      <c r="P52" s="41"/>
    </row>
    <row r="53" spans="1:16">
      <c r="A53" s="2" t="s">
        <v>94</v>
      </c>
      <c r="B53" s="2"/>
      <c r="C53" s="35">
        <v>44124</v>
      </c>
      <c r="D53" s="35"/>
      <c r="E53" s="35">
        <v>44124</v>
      </c>
      <c r="F53" s="5"/>
      <c r="G53" s="49"/>
      <c r="H53" s="5">
        <v>7.25</v>
      </c>
      <c r="I53" s="102">
        <v>0</v>
      </c>
      <c r="J53" s="5"/>
      <c r="K53" s="5"/>
      <c r="L53" s="6">
        <v>25</v>
      </c>
      <c r="M53" s="61">
        <v>11</v>
      </c>
      <c r="N53" s="6">
        <f>(L53-M53)*0.7</f>
        <v>9.7999999999999989</v>
      </c>
    </row>
    <row r="54" spans="1:16">
      <c r="A54" s="2" t="s">
        <v>100</v>
      </c>
      <c r="B54" s="2"/>
      <c r="C54" s="4">
        <v>44018</v>
      </c>
      <c r="D54" s="4"/>
      <c r="E54" s="4">
        <v>44124</v>
      </c>
      <c r="F54" s="40"/>
      <c r="G54" s="2"/>
      <c r="H54" s="5">
        <v>9.5</v>
      </c>
      <c r="I54" s="102">
        <f>25/30*104</f>
        <v>86.666666666666671</v>
      </c>
      <c r="J54" s="5"/>
      <c r="K54" s="5"/>
      <c r="L54" s="6">
        <v>70</v>
      </c>
      <c r="M54" s="61">
        <v>25</v>
      </c>
      <c r="N54" s="6">
        <f>(L54-M54)*0.7</f>
        <v>31.499999999999996</v>
      </c>
    </row>
    <row r="55" spans="1:16">
      <c r="A55" s="2" t="s">
        <v>101</v>
      </c>
      <c r="B55" s="2"/>
      <c r="C55" s="4">
        <v>44070</v>
      </c>
      <c r="D55" s="4"/>
      <c r="E55" s="4">
        <v>44131</v>
      </c>
      <c r="F55" s="40"/>
      <c r="G55" s="2"/>
      <c r="H55" s="5">
        <v>13.93</v>
      </c>
      <c r="I55" s="102">
        <f>71/30*60</f>
        <v>142</v>
      </c>
      <c r="J55" s="5"/>
      <c r="K55" s="5"/>
      <c r="L55" s="6">
        <v>120</v>
      </c>
      <c r="M55" s="61">
        <f>60+11</f>
        <v>71</v>
      </c>
      <c r="N55" s="6">
        <f>(L55-M55)*0.7</f>
        <v>34.299999999999997</v>
      </c>
    </row>
    <row r="56" spans="1:16">
      <c r="A56" s="22" t="s">
        <v>104</v>
      </c>
      <c r="B56" s="22"/>
      <c r="C56" s="4">
        <v>44159</v>
      </c>
      <c r="D56" s="4"/>
      <c r="E56" s="4">
        <v>44187</v>
      </c>
      <c r="F56" s="40"/>
      <c r="G56" s="2"/>
      <c r="H56" s="5">
        <v>13.93</v>
      </c>
      <c r="I56" s="102">
        <f>36/30*28</f>
        <v>33.6</v>
      </c>
      <c r="J56" s="5"/>
      <c r="K56" s="5"/>
      <c r="L56" s="6">
        <v>110</v>
      </c>
      <c r="M56" s="61">
        <f>25+11</f>
        <v>36</v>
      </c>
      <c r="N56" s="6">
        <f>(L56-M56)*0.7</f>
        <v>51.8</v>
      </c>
    </row>
    <row r="57" spans="1:16">
      <c r="A57" s="22" t="s">
        <v>120</v>
      </c>
      <c r="B57" s="22"/>
      <c r="C57" s="4">
        <v>44169</v>
      </c>
      <c r="D57" s="4"/>
      <c r="E57" s="4">
        <v>44208</v>
      </c>
      <c r="F57" s="5" t="s">
        <v>160</v>
      </c>
      <c r="G57" s="49">
        <v>10</v>
      </c>
      <c r="H57" s="5"/>
      <c r="I57" s="102">
        <f>41/30*38</f>
        <v>51.933333333333337</v>
      </c>
      <c r="J57" s="5"/>
      <c r="K57" s="5"/>
      <c r="L57" s="6">
        <v>70</v>
      </c>
      <c r="M57" s="61">
        <v>45</v>
      </c>
      <c r="N57" s="5">
        <f>10+(60-45)*0.7</f>
        <v>20.5</v>
      </c>
      <c r="O57" s="1" t="s">
        <v>145</v>
      </c>
    </row>
    <row r="58" spans="1:16">
      <c r="A58" s="22" t="s">
        <v>108</v>
      </c>
      <c r="B58" s="22"/>
      <c r="C58" s="4">
        <v>44185</v>
      </c>
      <c r="D58" s="4"/>
      <c r="E58" s="4">
        <v>44242</v>
      </c>
      <c r="F58" s="5" t="s">
        <v>160</v>
      </c>
      <c r="G58" s="49">
        <v>20</v>
      </c>
      <c r="H58" s="5">
        <v>26.48</v>
      </c>
      <c r="I58" s="102">
        <f>50/30*55</f>
        <v>91.666666666666671</v>
      </c>
      <c r="J58" s="5">
        <v>160</v>
      </c>
      <c r="K58" s="5"/>
      <c r="L58" s="6">
        <v>130</v>
      </c>
      <c r="M58" s="61">
        <v>34</v>
      </c>
      <c r="N58" s="5">
        <f>(20+(110-34)*0.7)</f>
        <v>73.199999999999989</v>
      </c>
      <c r="O58" s="1" t="s">
        <v>145</v>
      </c>
    </row>
    <row r="59" spans="1:16">
      <c r="A59" s="22" t="s">
        <v>109</v>
      </c>
      <c r="B59" s="22"/>
      <c r="C59" s="4">
        <v>44209</v>
      </c>
      <c r="D59" s="4"/>
      <c r="E59" s="4">
        <v>44250</v>
      </c>
      <c r="F59" s="5" t="s">
        <v>160</v>
      </c>
      <c r="G59" s="49">
        <v>22.5</v>
      </c>
      <c r="H59" s="5">
        <v>22.83</v>
      </c>
      <c r="I59" s="102">
        <f>100/30*40</f>
        <v>133.33333333333334</v>
      </c>
      <c r="J59" s="5">
        <v>125</v>
      </c>
      <c r="K59" s="5"/>
      <c r="L59" s="6">
        <v>210</v>
      </c>
      <c r="M59" s="61">
        <v>100</v>
      </c>
      <c r="N59" s="6">
        <f>(22.5+87.5*0.7)</f>
        <v>83.75</v>
      </c>
    </row>
    <row r="60" spans="1:16">
      <c r="A60" s="2" t="s">
        <v>113</v>
      </c>
      <c r="B60" s="2"/>
      <c r="C60" s="4">
        <v>44245</v>
      </c>
      <c r="D60" s="4"/>
      <c r="E60" s="4">
        <v>44271</v>
      </c>
      <c r="F60" s="5" t="s">
        <v>160</v>
      </c>
      <c r="G60" s="49">
        <v>15</v>
      </c>
      <c r="H60" s="5">
        <v>26.76</v>
      </c>
      <c r="I60" s="102">
        <f>67/30*28</f>
        <v>62.533333333333331</v>
      </c>
      <c r="J60" s="5"/>
      <c r="K60" s="5"/>
      <c r="L60" s="6">
        <v>140</v>
      </c>
      <c r="M60" s="61">
        <v>67</v>
      </c>
      <c r="N60" s="6">
        <f>(15+0.7*58)</f>
        <v>55.599999999999994</v>
      </c>
    </row>
    <row r="61" spans="1:16">
      <c r="A61" s="2" t="s">
        <v>112</v>
      </c>
      <c r="B61" s="2"/>
      <c r="C61" s="4">
        <v>44270</v>
      </c>
      <c r="D61" s="4"/>
      <c r="E61" s="4">
        <v>44286</v>
      </c>
      <c r="F61" s="5" t="s">
        <v>160</v>
      </c>
      <c r="G61" s="49">
        <v>17.5</v>
      </c>
      <c r="H61" s="5">
        <v>31.96</v>
      </c>
      <c r="I61" s="102">
        <f>55/30*16</f>
        <v>29.333333333333332</v>
      </c>
      <c r="J61" s="5">
        <v>75</v>
      </c>
      <c r="K61" s="5"/>
      <c r="L61" s="6">
        <v>100</v>
      </c>
      <c r="M61" s="61">
        <v>55</v>
      </c>
      <c r="N61" s="6">
        <f>(17.5+27.5*0.7)</f>
        <v>36.75</v>
      </c>
    </row>
    <row r="62" spans="1:16">
      <c r="A62" s="22" t="s">
        <v>121</v>
      </c>
      <c r="B62" s="22"/>
      <c r="C62" s="4">
        <v>44316</v>
      </c>
      <c r="D62" s="4"/>
      <c r="E62" s="4">
        <v>44354</v>
      </c>
      <c r="F62" s="40"/>
      <c r="G62" s="2"/>
      <c r="H62" s="5">
        <v>15.15</v>
      </c>
      <c r="I62" s="102">
        <f>36/30*37</f>
        <v>44.4</v>
      </c>
      <c r="J62" s="5"/>
      <c r="K62" s="5"/>
      <c r="L62" s="6">
        <v>110</v>
      </c>
      <c r="M62" s="61">
        <v>36</v>
      </c>
      <c r="N62" s="5">
        <f>(L62-M62)*0.7</f>
        <v>51.8</v>
      </c>
      <c r="O62" s="1" t="s">
        <v>145</v>
      </c>
    </row>
    <row r="63" spans="1:16">
      <c r="A63" s="22" t="s">
        <v>126</v>
      </c>
      <c r="B63" s="22"/>
      <c r="C63" s="4">
        <v>44336</v>
      </c>
      <c r="D63" s="4"/>
      <c r="E63" s="4">
        <v>44370</v>
      </c>
      <c r="F63" s="5" t="s">
        <v>161</v>
      </c>
      <c r="G63" s="49">
        <v>17.5</v>
      </c>
      <c r="H63" s="5">
        <v>35.78</v>
      </c>
      <c r="I63" s="102">
        <f>58/30*33</f>
        <v>63.8</v>
      </c>
      <c r="J63" s="5">
        <v>50</v>
      </c>
      <c r="K63" s="5"/>
      <c r="L63" s="6">
        <v>150</v>
      </c>
      <c r="M63" s="61">
        <v>58</v>
      </c>
      <c r="N63" s="6">
        <f>(17.5+74.5*0.7)</f>
        <v>69.650000000000006</v>
      </c>
    </row>
    <row r="64" spans="1:16">
      <c r="A64" s="44" t="s">
        <v>125</v>
      </c>
      <c r="B64" s="44"/>
      <c r="C64" s="4">
        <v>44342</v>
      </c>
      <c r="D64" s="4"/>
      <c r="E64" s="4">
        <v>44386</v>
      </c>
      <c r="F64" s="5" t="s">
        <v>160</v>
      </c>
      <c r="G64" s="49">
        <v>12.5</v>
      </c>
      <c r="H64" s="5">
        <v>15.46</v>
      </c>
      <c r="I64" s="102">
        <f>36/30*43</f>
        <v>51.6</v>
      </c>
      <c r="J64" s="5">
        <f>50+45</f>
        <v>95</v>
      </c>
      <c r="K64" s="5"/>
      <c r="L64" s="6">
        <v>80</v>
      </c>
      <c r="M64" s="61">
        <v>33</v>
      </c>
      <c r="N64" s="6">
        <f>12.5+(L64-M64-12.5)*0.7</f>
        <v>36.65</v>
      </c>
    </row>
    <row r="65" spans="1:16">
      <c r="A65" s="44" t="s">
        <v>129</v>
      </c>
      <c r="B65" s="44"/>
      <c r="C65" s="4">
        <v>44348</v>
      </c>
      <c r="D65" s="4"/>
      <c r="E65" s="4">
        <v>44389</v>
      </c>
      <c r="F65" s="5" t="s">
        <v>160</v>
      </c>
      <c r="G65" s="49">
        <v>12.5</v>
      </c>
      <c r="H65" s="5">
        <v>26.22</v>
      </c>
      <c r="I65" s="102">
        <f>71/30*42</f>
        <v>99.4</v>
      </c>
      <c r="J65" s="5">
        <f>50+45</f>
        <v>95</v>
      </c>
      <c r="K65" s="5"/>
      <c r="L65" s="6">
        <v>140</v>
      </c>
      <c r="M65" s="61">
        <v>71</v>
      </c>
      <c r="N65" s="6">
        <f>(12.5+(127.5-71)*0.7)</f>
        <v>52.05</v>
      </c>
    </row>
    <row r="66" spans="1:16">
      <c r="A66" s="44" t="s">
        <v>124</v>
      </c>
      <c r="B66" s="44"/>
      <c r="C66" s="4">
        <v>44348</v>
      </c>
      <c r="D66" s="4"/>
      <c r="E66" s="4">
        <v>44389</v>
      </c>
      <c r="F66" s="40"/>
      <c r="G66" s="2"/>
      <c r="H66" s="5">
        <v>11.62</v>
      </c>
      <c r="I66" s="102">
        <f>26/30*42</f>
        <v>36.4</v>
      </c>
      <c r="J66" s="5">
        <v>65</v>
      </c>
      <c r="K66" s="5"/>
      <c r="L66" s="6">
        <v>70</v>
      </c>
      <c r="M66" s="61">
        <v>26</v>
      </c>
      <c r="N66" s="6">
        <f>(70-26)*0.7</f>
        <v>30.799999999999997</v>
      </c>
    </row>
    <row r="67" spans="1:16">
      <c r="A67" s="44" t="s">
        <v>132</v>
      </c>
      <c r="B67" s="44"/>
      <c r="C67" s="4">
        <v>44407</v>
      </c>
      <c r="D67" s="4"/>
      <c r="E67" s="4">
        <v>44461</v>
      </c>
      <c r="F67" s="40"/>
      <c r="G67" s="2"/>
      <c r="H67" s="5">
        <v>9.8800000000000008</v>
      </c>
      <c r="I67" s="102">
        <f>25/30*52</f>
        <v>43.333333333333336</v>
      </c>
      <c r="J67" s="5"/>
      <c r="K67" s="5"/>
      <c r="L67" s="6">
        <v>40</v>
      </c>
      <c r="M67" s="61">
        <v>25</v>
      </c>
      <c r="N67" s="6">
        <f>(L67-M67)*0.7</f>
        <v>10.5</v>
      </c>
    </row>
    <row r="68" spans="1:16">
      <c r="A68" s="52" t="s">
        <v>141</v>
      </c>
      <c r="B68" s="52"/>
      <c r="C68" s="57">
        <v>44459</v>
      </c>
      <c r="D68" s="57"/>
      <c r="E68" s="57">
        <v>44481</v>
      </c>
      <c r="F68" s="10" t="s">
        <v>161</v>
      </c>
      <c r="G68" s="12">
        <v>10</v>
      </c>
      <c r="H68" s="25">
        <v>15.15</v>
      </c>
      <c r="I68" s="103">
        <f>46/30*22</f>
        <v>33.733333333333334</v>
      </c>
      <c r="J68" s="25">
        <v>80</v>
      </c>
      <c r="K68" s="25"/>
      <c r="L68" s="27">
        <v>120</v>
      </c>
      <c r="M68" s="64">
        <v>46</v>
      </c>
      <c r="N68" s="27">
        <f>10+(120-56)*0.7</f>
        <v>54.8</v>
      </c>
    </row>
    <row r="69" spans="1:16">
      <c r="A69" s="52" t="s">
        <v>140</v>
      </c>
      <c r="B69" s="52"/>
      <c r="C69" s="57">
        <v>44449</v>
      </c>
      <c r="D69" s="57"/>
      <c r="E69" s="57">
        <v>44482</v>
      </c>
      <c r="F69" s="25" t="s">
        <v>160</v>
      </c>
      <c r="G69" s="58">
        <v>10</v>
      </c>
      <c r="H69" s="25">
        <v>13.4</v>
      </c>
      <c r="I69" s="103">
        <f>60/30*33</f>
        <v>66</v>
      </c>
      <c r="J69" s="25">
        <v>80</v>
      </c>
      <c r="K69" s="25"/>
      <c r="L69" s="27">
        <v>120</v>
      </c>
      <c r="M69" s="64">
        <v>61</v>
      </c>
      <c r="N69" s="27">
        <f>(10+49*0.7)</f>
        <v>44.3</v>
      </c>
    </row>
    <row r="70" spans="1:16">
      <c r="A70" s="44" t="s">
        <v>137</v>
      </c>
      <c r="B70" s="44"/>
      <c r="C70" s="35">
        <v>44474</v>
      </c>
      <c r="D70" s="35"/>
      <c r="E70" s="35">
        <v>44487</v>
      </c>
      <c r="F70" s="10" t="s">
        <v>161</v>
      </c>
      <c r="G70" s="12">
        <v>12.5</v>
      </c>
      <c r="H70" s="5">
        <v>15.15</v>
      </c>
      <c r="I70" s="102">
        <f>71/30*13</f>
        <v>30.766666666666666</v>
      </c>
      <c r="J70" s="5">
        <v>95</v>
      </c>
      <c r="K70" s="5"/>
      <c r="L70" s="6">
        <v>140</v>
      </c>
      <c r="M70" s="61">
        <v>71</v>
      </c>
      <c r="N70" s="6">
        <f>12.5+(56.5)*0.7</f>
        <v>52.05</v>
      </c>
    </row>
    <row r="71" spans="1:16">
      <c r="A71" s="44" t="s">
        <v>143</v>
      </c>
      <c r="B71" s="44"/>
      <c r="C71" s="35">
        <v>43717</v>
      </c>
      <c r="D71" s="35"/>
      <c r="E71" s="35">
        <v>44505</v>
      </c>
      <c r="F71" s="40"/>
      <c r="G71" s="49"/>
      <c r="H71" s="5">
        <v>13.4</v>
      </c>
      <c r="I71" s="102">
        <f>36*25+36/30*26</f>
        <v>931.2</v>
      </c>
      <c r="J71" s="5"/>
      <c r="K71" s="5"/>
      <c r="L71" s="6">
        <v>100</v>
      </c>
      <c r="M71" s="61">
        <v>36</v>
      </c>
      <c r="N71" s="6">
        <f>(100-36)*0.7</f>
        <v>44.8</v>
      </c>
    </row>
    <row r="72" spans="1:16">
      <c r="A72" s="44" t="s">
        <v>139</v>
      </c>
      <c r="B72" s="44"/>
      <c r="C72" s="35">
        <v>44492</v>
      </c>
      <c r="D72" s="35"/>
      <c r="E72" s="35">
        <v>44539</v>
      </c>
      <c r="F72" s="40"/>
      <c r="G72" s="49"/>
      <c r="H72" s="5">
        <v>16.350000000000001</v>
      </c>
      <c r="I72" s="102">
        <f>71/30*46</f>
        <v>108.86666666666667</v>
      </c>
      <c r="J72" s="5">
        <v>95</v>
      </c>
      <c r="K72" s="5"/>
      <c r="L72" s="6">
        <v>140</v>
      </c>
      <c r="M72" s="61">
        <v>71</v>
      </c>
      <c r="N72" s="12">
        <f>(140-71)*0.7</f>
        <v>48.3</v>
      </c>
      <c r="O72" s="72" t="s">
        <v>329</v>
      </c>
      <c r="P72" s="72">
        <v>33.81</v>
      </c>
    </row>
    <row r="73" spans="1:16">
      <c r="A73" s="44" t="s">
        <v>144</v>
      </c>
      <c r="B73" s="44"/>
      <c r="C73" s="35">
        <v>44526</v>
      </c>
      <c r="D73" s="35"/>
      <c r="E73" s="35">
        <v>44550</v>
      </c>
      <c r="F73" s="5" t="s">
        <v>160</v>
      </c>
      <c r="G73" s="49">
        <v>12.5</v>
      </c>
      <c r="H73" s="5">
        <v>13.4</v>
      </c>
      <c r="I73" s="102">
        <f>83/30*24</f>
        <v>66.400000000000006</v>
      </c>
      <c r="J73" s="5"/>
      <c r="K73" s="5"/>
      <c r="L73" s="6">
        <v>140</v>
      </c>
      <c r="M73" s="61">
        <v>94</v>
      </c>
      <c r="N73" s="6">
        <f>12.5+(140-12.5-94)*0.7</f>
        <v>35.950000000000003</v>
      </c>
    </row>
    <row r="74" spans="1:16">
      <c r="A74" s="44" t="s">
        <v>149</v>
      </c>
      <c r="B74" s="44"/>
      <c r="C74" s="35">
        <v>44880</v>
      </c>
      <c r="D74" s="35"/>
      <c r="E74" s="35">
        <v>44575</v>
      </c>
      <c r="F74" s="40"/>
      <c r="G74" s="49"/>
      <c r="H74" s="5">
        <v>13.4</v>
      </c>
      <c r="I74" s="102"/>
      <c r="J74" s="5">
        <v>50</v>
      </c>
      <c r="K74" s="5"/>
      <c r="L74" s="6">
        <v>160</v>
      </c>
      <c r="M74" s="61">
        <f>71+9</f>
        <v>80</v>
      </c>
      <c r="N74" s="6">
        <f>(160-80)*0.7</f>
        <v>56</v>
      </c>
    </row>
    <row r="75" spans="1:16">
      <c r="A75" s="44" t="s">
        <v>146</v>
      </c>
      <c r="B75" s="44"/>
      <c r="C75" s="4">
        <v>44586</v>
      </c>
      <c r="D75" s="4"/>
      <c r="E75" s="4">
        <v>44615</v>
      </c>
      <c r="F75" s="10" t="s">
        <v>161</v>
      </c>
      <c r="G75" s="12">
        <v>12.5</v>
      </c>
      <c r="H75" s="5">
        <v>15.46</v>
      </c>
      <c r="I75" s="102">
        <f>27/30*28</f>
        <v>25.2</v>
      </c>
      <c r="J75" s="5">
        <v>110</v>
      </c>
      <c r="K75" s="5"/>
      <c r="L75" s="6">
        <v>154</v>
      </c>
      <c r="M75" s="61">
        <v>72</v>
      </c>
      <c r="N75" s="6">
        <f>12.5+(154-12.5-62)*0.7</f>
        <v>68.150000000000006</v>
      </c>
    </row>
    <row r="76" spans="1:16">
      <c r="A76" s="44" t="s">
        <v>148</v>
      </c>
      <c r="B76" s="44"/>
      <c r="C76" s="4">
        <v>44579</v>
      </c>
      <c r="D76" s="4"/>
      <c r="E76" s="4">
        <v>44594</v>
      </c>
      <c r="F76" s="40"/>
      <c r="G76" s="49"/>
      <c r="H76" s="5">
        <v>13.4</v>
      </c>
      <c r="I76" s="102">
        <f>22/30*14</f>
        <v>10.266666666666666</v>
      </c>
      <c r="J76" s="5">
        <v>30</v>
      </c>
      <c r="K76" s="5"/>
      <c r="L76" s="6">
        <v>50</v>
      </c>
      <c r="M76" s="61">
        <v>22</v>
      </c>
      <c r="N76" s="6">
        <f>(50-22)*0.7</f>
        <v>19.599999999999998</v>
      </c>
    </row>
    <row r="77" spans="1:16">
      <c r="A77" s="44" t="s">
        <v>150</v>
      </c>
      <c r="B77" s="44"/>
      <c r="C77" s="4">
        <v>44899</v>
      </c>
      <c r="D77" s="4"/>
      <c r="E77" s="4">
        <v>44607</v>
      </c>
      <c r="F77" s="12" t="s">
        <v>160</v>
      </c>
      <c r="G77" s="12">
        <v>12.5</v>
      </c>
      <c r="H77" s="5">
        <v>13.4</v>
      </c>
      <c r="I77" s="102">
        <f>71/30*61</f>
        <v>144.36666666666667</v>
      </c>
      <c r="J77" s="5">
        <v>80</v>
      </c>
      <c r="K77" s="5"/>
      <c r="L77" s="6">
        <v>120</v>
      </c>
      <c r="M77" s="61">
        <v>60</v>
      </c>
      <c r="N77" s="6">
        <f>12.5+(120-72.5)*0.7</f>
        <v>45.75</v>
      </c>
    </row>
    <row r="78" spans="1:16">
      <c r="A78" s="44" t="s">
        <v>151</v>
      </c>
      <c r="B78" s="44"/>
      <c r="C78" s="4">
        <v>44926</v>
      </c>
      <c r="D78" s="4"/>
      <c r="E78" s="4">
        <v>44649</v>
      </c>
      <c r="F78" s="40"/>
      <c r="G78" s="40"/>
      <c r="H78" s="5">
        <v>9.0299999999999994</v>
      </c>
      <c r="I78" s="102">
        <f>25*2+25/30*29</f>
        <v>74.166666666666671</v>
      </c>
      <c r="J78" s="5">
        <v>80</v>
      </c>
      <c r="K78" s="5"/>
      <c r="L78" s="6">
        <v>67.5</v>
      </c>
      <c r="M78" s="61">
        <v>25</v>
      </c>
      <c r="N78" s="6">
        <f>(67.5-25)*0.7</f>
        <v>29.749999999999996</v>
      </c>
    </row>
    <row r="79" spans="1:16">
      <c r="A79" s="44" t="s">
        <v>153</v>
      </c>
      <c r="B79" s="44"/>
      <c r="C79" s="4">
        <v>44623</v>
      </c>
      <c r="D79" s="4"/>
      <c r="E79" s="4">
        <v>44623</v>
      </c>
      <c r="F79" s="40"/>
      <c r="G79" s="40"/>
      <c r="H79" s="5">
        <v>11.03</v>
      </c>
      <c r="I79" s="102">
        <v>0</v>
      </c>
      <c r="J79" s="5">
        <v>15</v>
      </c>
      <c r="K79" s="5"/>
      <c r="L79" s="6">
        <v>30</v>
      </c>
      <c r="M79" s="61">
        <v>12</v>
      </c>
      <c r="N79" s="6">
        <f>(L79-M79)*0.7</f>
        <v>12.6</v>
      </c>
    </row>
    <row r="80" spans="1:16">
      <c r="A80" s="44" t="s">
        <v>154</v>
      </c>
      <c r="B80" s="44"/>
      <c r="C80" s="4">
        <v>44881</v>
      </c>
      <c r="D80" s="4"/>
      <c r="E80" s="4">
        <v>44628</v>
      </c>
      <c r="F80" s="40"/>
      <c r="G80" s="40"/>
      <c r="H80" s="5">
        <v>9.0299999999999994</v>
      </c>
      <c r="I80" s="102">
        <f>65*3+65/30*22</f>
        <v>242.66666666666666</v>
      </c>
      <c r="J80" s="5">
        <v>95</v>
      </c>
      <c r="K80" s="5"/>
      <c r="L80" s="6">
        <v>112</v>
      </c>
      <c r="M80" s="61">
        <v>65</v>
      </c>
      <c r="N80" s="6">
        <f>(L80-M80)*0.7</f>
        <v>32.9</v>
      </c>
    </row>
    <row r="81" spans="1:14">
      <c r="A81" s="44" t="s">
        <v>155</v>
      </c>
      <c r="B81" s="44"/>
      <c r="C81" s="4">
        <v>44490</v>
      </c>
      <c r="D81" s="4"/>
      <c r="E81" s="4">
        <v>44648</v>
      </c>
      <c r="F81" s="40"/>
      <c r="G81" s="40"/>
      <c r="H81" s="5">
        <v>13.4</v>
      </c>
      <c r="I81" s="102">
        <f>45*5+45/30*7</f>
        <v>235.5</v>
      </c>
      <c r="J81" s="5">
        <v>80</v>
      </c>
      <c r="K81" s="5"/>
      <c r="L81" s="6">
        <v>67.5</v>
      </c>
      <c r="M81" s="61">
        <v>45</v>
      </c>
      <c r="N81" s="6">
        <f>(L81-M81)*0.7</f>
        <v>15.749999999999998</v>
      </c>
    </row>
    <row r="82" spans="1:14">
      <c r="A82" s="44" t="s">
        <v>156</v>
      </c>
      <c r="B82" s="44"/>
      <c r="C82" s="4">
        <v>44489</v>
      </c>
      <c r="D82" s="4"/>
      <c r="E82" s="4">
        <v>44651</v>
      </c>
      <c r="F82" s="40"/>
      <c r="G82" s="40"/>
      <c r="H82" s="5">
        <v>15.46</v>
      </c>
      <c r="I82" s="102">
        <f>50*5+50/10</f>
        <v>255</v>
      </c>
      <c r="J82" s="5">
        <v>145</v>
      </c>
      <c r="K82" s="5"/>
      <c r="L82" s="6">
        <v>125</v>
      </c>
      <c r="M82" s="61">
        <v>50</v>
      </c>
      <c r="N82" s="6">
        <f>(L82-M82)*0.7</f>
        <v>52.5</v>
      </c>
    </row>
    <row r="83" spans="1:14">
      <c r="A83" s="44" t="s">
        <v>157</v>
      </c>
      <c r="B83" s="44"/>
      <c r="C83" s="4">
        <v>44627</v>
      </c>
      <c r="D83" s="4"/>
      <c r="E83" s="4">
        <v>44627</v>
      </c>
      <c r="F83" s="10" t="s">
        <v>161</v>
      </c>
      <c r="G83" s="12">
        <v>10</v>
      </c>
      <c r="H83" s="5">
        <v>15.46</v>
      </c>
      <c r="I83" s="102">
        <v>0</v>
      </c>
      <c r="J83" s="5">
        <v>0</v>
      </c>
      <c r="K83" s="5"/>
      <c r="L83" s="6">
        <v>100</v>
      </c>
      <c r="M83" s="61">
        <v>44</v>
      </c>
      <c r="N83" s="6">
        <f>10+(46)*0.7</f>
        <v>42.199999999999996</v>
      </c>
    </row>
    <row r="84" spans="1:14">
      <c r="A84" s="44" t="s">
        <v>158</v>
      </c>
      <c r="B84" s="44"/>
      <c r="C84" s="4">
        <v>44627</v>
      </c>
      <c r="D84" s="4"/>
      <c r="E84" s="4">
        <v>44627</v>
      </c>
      <c r="F84" s="10" t="s">
        <v>161</v>
      </c>
      <c r="G84" s="12">
        <v>12.5</v>
      </c>
      <c r="H84" s="5">
        <v>15.46</v>
      </c>
      <c r="I84" s="102">
        <v>0</v>
      </c>
      <c r="J84" s="5">
        <v>0</v>
      </c>
      <c r="K84" s="5"/>
      <c r="L84" s="6">
        <v>125</v>
      </c>
      <c r="M84" s="61">
        <v>55</v>
      </c>
      <c r="N84" s="6">
        <f>12.5+(57.5)*0.7</f>
        <v>52.75</v>
      </c>
    </row>
    <row r="85" spans="1:14">
      <c r="A85" s="44" t="s">
        <v>171</v>
      </c>
      <c r="B85" s="44"/>
      <c r="C85" s="4">
        <v>44648</v>
      </c>
      <c r="D85" s="4"/>
      <c r="E85" s="4">
        <v>44734</v>
      </c>
      <c r="F85" s="40"/>
      <c r="G85" s="5"/>
      <c r="H85" s="5">
        <v>13.72</v>
      </c>
      <c r="I85" s="102">
        <f>56/30*84</f>
        <v>156.80000000000001</v>
      </c>
      <c r="J85" s="5">
        <v>95</v>
      </c>
      <c r="K85" s="5"/>
      <c r="L85" s="6">
        <v>140</v>
      </c>
      <c r="M85" s="61">
        <v>56</v>
      </c>
      <c r="N85" s="6">
        <f>(140-56)*0.7</f>
        <v>58.8</v>
      </c>
    </row>
    <row r="86" spans="1:14">
      <c r="A86" s="44" t="s">
        <v>172</v>
      </c>
      <c r="B86" s="44"/>
      <c r="C86" s="4">
        <v>44705</v>
      </c>
      <c r="D86" s="4"/>
      <c r="E86" s="4">
        <v>44715</v>
      </c>
      <c r="F86" s="40"/>
      <c r="G86" s="5"/>
      <c r="H86" s="5">
        <v>10.039999999999999</v>
      </c>
      <c r="I86" s="102">
        <f>25/30*9</f>
        <v>7.5</v>
      </c>
      <c r="J86" s="5"/>
      <c r="K86" s="5"/>
      <c r="L86" s="6">
        <v>50</v>
      </c>
      <c r="M86" s="61">
        <v>25</v>
      </c>
      <c r="N86" s="6">
        <f>(50-25)*0.7</f>
        <v>17.5</v>
      </c>
    </row>
    <row r="87" spans="1:14">
      <c r="A87" s="44" t="s">
        <v>173</v>
      </c>
      <c r="B87" s="44"/>
      <c r="C87" s="4">
        <v>44704</v>
      </c>
      <c r="D87" s="4"/>
      <c r="E87" s="4">
        <v>44721</v>
      </c>
      <c r="F87" s="10" t="s">
        <v>161</v>
      </c>
      <c r="G87" s="56">
        <v>12.5</v>
      </c>
      <c r="H87" s="5">
        <v>13.72</v>
      </c>
      <c r="I87" s="102">
        <f>37/30*16</f>
        <v>19.733333333333334</v>
      </c>
      <c r="J87" s="5">
        <f>50+45</f>
        <v>95</v>
      </c>
      <c r="K87" s="5"/>
      <c r="L87" s="6">
        <v>110</v>
      </c>
      <c r="M87" s="61">
        <v>37</v>
      </c>
      <c r="N87" s="56">
        <f>12.5+(97.5-37)*0.7</f>
        <v>54.849999999999994</v>
      </c>
    </row>
    <row r="88" spans="1:14">
      <c r="A88" s="44" t="s">
        <v>174</v>
      </c>
      <c r="B88" s="44"/>
      <c r="C88" s="4">
        <v>44715</v>
      </c>
      <c r="D88" s="4"/>
      <c r="E88" s="4">
        <v>44820</v>
      </c>
      <c r="F88" s="10" t="s">
        <v>161</v>
      </c>
      <c r="G88" s="56">
        <v>15</v>
      </c>
      <c r="H88" s="5">
        <v>14.6</v>
      </c>
      <c r="I88" s="102">
        <f>56/30*103</f>
        <v>192.26666666666668</v>
      </c>
      <c r="J88" s="5">
        <v>50</v>
      </c>
      <c r="K88" s="5"/>
      <c r="L88" s="6">
        <f>130</f>
        <v>130</v>
      </c>
      <c r="M88" s="61">
        <v>56</v>
      </c>
      <c r="N88" s="56">
        <f>15+(115-56)*0.7</f>
        <v>56.3</v>
      </c>
    </row>
    <row r="89" spans="1:14">
      <c r="A89" s="44" t="s">
        <v>183</v>
      </c>
      <c r="B89" s="44"/>
      <c r="C89" s="4">
        <v>44749</v>
      </c>
      <c r="D89" s="4">
        <v>44830</v>
      </c>
      <c r="E89" s="4">
        <v>44858</v>
      </c>
      <c r="F89" s="40"/>
      <c r="G89" s="5"/>
      <c r="H89" s="5">
        <v>11.03</v>
      </c>
      <c r="I89" s="102">
        <v>25</v>
      </c>
      <c r="J89" s="5">
        <v>15</v>
      </c>
      <c r="K89" s="5"/>
      <c r="L89" s="6">
        <v>80</v>
      </c>
      <c r="M89" s="61">
        <v>25</v>
      </c>
      <c r="N89" s="6">
        <f>55*0.7</f>
        <v>38.5</v>
      </c>
    </row>
    <row r="90" spans="1:14">
      <c r="A90" s="44" t="s">
        <v>184</v>
      </c>
      <c r="B90" s="44"/>
      <c r="C90" s="4">
        <v>44775</v>
      </c>
      <c r="D90" s="4">
        <v>44810</v>
      </c>
      <c r="E90" s="4">
        <v>44848</v>
      </c>
      <c r="F90" s="40"/>
      <c r="G90" s="5"/>
      <c r="H90" s="5">
        <v>23.38</v>
      </c>
      <c r="I90" s="102">
        <f>100/30*38</f>
        <v>126.66666666666667</v>
      </c>
      <c r="J90" s="5">
        <v>155</v>
      </c>
      <c r="K90" s="5"/>
      <c r="L90" s="6">
        <v>220</v>
      </c>
      <c r="M90" s="61">
        <v>100</v>
      </c>
      <c r="N90" s="6">
        <v>90.75</v>
      </c>
    </row>
    <row r="91" spans="1:14">
      <c r="A91" s="44" t="s">
        <v>185</v>
      </c>
      <c r="B91" s="44"/>
      <c r="C91" s="4">
        <v>44830</v>
      </c>
      <c r="D91" s="4">
        <v>44852</v>
      </c>
      <c r="E91" s="4">
        <v>44858</v>
      </c>
      <c r="F91" s="10" t="s">
        <v>161</v>
      </c>
      <c r="G91" s="12">
        <v>15</v>
      </c>
      <c r="H91" s="5">
        <v>23.38</v>
      </c>
      <c r="I91" s="102">
        <f>54.5/30*6</f>
        <v>10.9</v>
      </c>
      <c r="J91" s="5">
        <v>95</v>
      </c>
      <c r="K91" s="5"/>
      <c r="L91" s="6">
        <v>160</v>
      </c>
      <c r="M91" s="61">
        <v>64.5</v>
      </c>
      <c r="N91" s="6">
        <f>15+(145-64.5)*0.7</f>
        <v>71.349999999999994</v>
      </c>
    </row>
    <row r="92" spans="1:14">
      <c r="A92" s="44" t="s">
        <v>190</v>
      </c>
      <c r="B92" s="44"/>
      <c r="C92" s="4"/>
      <c r="D92" s="4">
        <v>44879</v>
      </c>
      <c r="E92" s="35">
        <v>44887</v>
      </c>
      <c r="F92" s="44" t="s">
        <v>161</v>
      </c>
      <c r="G92" s="56">
        <v>10</v>
      </c>
      <c r="H92" s="5">
        <v>14.6</v>
      </c>
      <c r="I92" s="102">
        <f>34/30*8</f>
        <v>9.0666666666666664</v>
      </c>
      <c r="J92" s="5">
        <v>45</v>
      </c>
      <c r="K92" s="5"/>
      <c r="L92" s="6">
        <v>90</v>
      </c>
      <c r="M92" s="61">
        <v>34</v>
      </c>
      <c r="N92" s="56">
        <f>10+(80-34)*0.7</f>
        <v>42.199999999999996</v>
      </c>
    </row>
    <row r="93" spans="1:14">
      <c r="A93" s="44" t="s">
        <v>193</v>
      </c>
      <c r="B93" s="44"/>
      <c r="C93" s="4">
        <v>44872</v>
      </c>
      <c r="D93" s="4">
        <v>44879</v>
      </c>
      <c r="E93" s="35">
        <v>44882</v>
      </c>
      <c r="F93" s="40"/>
      <c r="G93" s="5"/>
      <c r="H93" s="5">
        <v>10.039999999999999</v>
      </c>
      <c r="I93" s="102">
        <f>25/30*3</f>
        <v>2.5</v>
      </c>
      <c r="J93" s="5"/>
      <c r="K93" s="5"/>
      <c r="L93" s="6">
        <v>40</v>
      </c>
      <c r="M93" s="61">
        <v>25</v>
      </c>
      <c r="N93" s="6">
        <f>(L93-M93)*0.7</f>
        <v>10.5</v>
      </c>
    </row>
    <row r="94" spans="1:14">
      <c r="A94" s="44" t="s">
        <v>213</v>
      </c>
      <c r="B94" s="44"/>
      <c r="C94" s="4">
        <v>44894</v>
      </c>
      <c r="D94" s="4">
        <v>44908</v>
      </c>
      <c r="E94" s="35">
        <v>44944</v>
      </c>
      <c r="F94" s="40" t="s">
        <v>161</v>
      </c>
      <c r="G94" s="5">
        <v>15</v>
      </c>
      <c r="H94" s="5">
        <v>31.72</v>
      </c>
      <c r="I94" s="102">
        <f>50/30*35</f>
        <v>58.333333333333336</v>
      </c>
      <c r="J94" s="5">
        <f>60+50</f>
        <v>110</v>
      </c>
      <c r="K94" s="5"/>
      <c r="L94" s="6">
        <v>130</v>
      </c>
      <c r="M94" s="61">
        <f>19+2+3.5*2+11*2</f>
        <v>50</v>
      </c>
      <c r="N94" s="94">
        <f>15+(L94-M94-15)*0.7</f>
        <v>60.5</v>
      </c>
    </row>
    <row r="95" spans="1:14">
      <c r="A95" s="44" t="s">
        <v>227</v>
      </c>
      <c r="B95" s="44"/>
      <c r="C95" s="4">
        <v>44949</v>
      </c>
      <c r="D95" s="4">
        <v>44953</v>
      </c>
      <c r="E95" s="35">
        <v>44966</v>
      </c>
      <c r="F95" s="40" t="s">
        <v>160</v>
      </c>
      <c r="G95" s="5">
        <v>15</v>
      </c>
      <c r="H95" s="5">
        <v>16.38</v>
      </c>
      <c r="I95" s="102">
        <f>61.5/30*12</f>
        <v>24.599999999999998</v>
      </c>
      <c r="J95" s="5">
        <f>50+60</f>
        <v>110</v>
      </c>
      <c r="K95" s="5"/>
      <c r="L95" s="6">
        <v>160</v>
      </c>
      <c r="M95" s="65">
        <f>32.5+7+22</f>
        <v>61.5</v>
      </c>
      <c r="N95" s="59">
        <f>15+(L95-M95-15)*0.7</f>
        <v>73.449999999999989</v>
      </c>
    </row>
    <row r="96" spans="1:14">
      <c r="A96" s="44" t="s">
        <v>228</v>
      </c>
      <c r="B96" s="44"/>
      <c r="C96" s="4">
        <v>44957</v>
      </c>
      <c r="D96" s="4">
        <v>44957</v>
      </c>
      <c r="E96" s="35">
        <v>44977</v>
      </c>
      <c r="F96" s="40"/>
      <c r="G96" s="5"/>
      <c r="H96" s="5">
        <v>20.61</v>
      </c>
      <c r="I96" s="102">
        <f>66/30*20</f>
        <v>44</v>
      </c>
      <c r="J96" s="5">
        <v>90</v>
      </c>
      <c r="K96" s="5"/>
      <c r="L96" s="6">
        <v>155</v>
      </c>
      <c r="M96" s="65">
        <v>54</v>
      </c>
      <c r="N96" s="59">
        <f>(L96-M96)*0.7</f>
        <v>70.699999999999989</v>
      </c>
    </row>
    <row r="97" spans="1:16">
      <c r="A97" s="44" t="s">
        <v>255</v>
      </c>
      <c r="B97" s="44"/>
      <c r="C97" s="35">
        <v>44691</v>
      </c>
      <c r="D97" s="35">
        <v>44994</v>
      </c>
      <c r="E97" s="4">
        <v>44994</v>
      </c>
      <c r="F97" s="40"/>
      <c r="G97" s="40"/>
      <c r="H97" s="5">
        <v>11.03</v>
      </c>
      <c r="I97" s="102">
        <f>25*14</f>
        <v>350</v>
      </c>
      <c r="J97" s="40">
        <f>30+50</f>
        <v>80</v>
      </c>
      <c r="K97" s="40"/>
      <c r="L97" s="6">
        <v>90</v>
      </c>
      <c r="M97" s="6">
        <v>25</v>
      </c>
      <c r="N97" s="59">
        <v>48.5</v>
      </c>
    </row>
    <row r="98" spans="1:16">
      <c r="A98" s="44" t="s">
        <v>187</v>
      </c>
      <c r="B98" s="44"/>
      <c r="C98" s="35"/>
      <c r="D98" s="35">
        <v>44991</v>
      </c>
      <c r="E98" s="4">
        <v>44991</v>
      </c>
      <c r="F98" s="40"/>
      <c r="G98" s="40"/>
      <c r="H98" s="5">
        <v>13.31</v>
      </c>
      <c r="I98" s="102"/>
      <c r="J98" s="40">
        <v>45</v>
      </c>
      <c r="K98" s="40"/>
      <c r="L98" s="6">
        <v>80</v>
      </c>
      <c r="M98" s="6">
        <v>27</v>
      </c>
      <c r="N98" s="59">
        <f>(L98-M98)*0.7</f>
        <v>37.099999999999994</v>
      </c>
    </row>
    <row r="99" spans="1:16">
      <c r="A99" s="76" t="s">
        <v>276</v>
      </c>
      <c r="B99" s="44"/>
      <c r="C99" s="35">
        <v>45061</v>
      </c>
      <c r="D99" s="35">
        <v>45070</v>
      </c>
      <c r="E99" s="4"/>
      <c r="F99" s="40"/>
      <c r="G99" s="40"/>
      <c r="H99" s="5">
        <v>11.48</v>
      </c>
      <c r="I99" s="102">
        <f>21/30*9</f>
        <v>6.3</v>
      </c>
      <c r="J99" s="40"/>
      <c r="K99" s="40"/>
      <c r="L99" s="17">
        <f>50</f>
        <v>50</v>
      </c>
      <c r="M99" s="18">
        <v>21</v>
      </c>
      <c r="N99" s="70">
        <f>(50-21)*0.7</f>
        <v>20.299999999999997</v>
      </c>
    </row>
    <row r="100" spans="1:16">
      <c r="A100" s="76" t="s">
        <v>279</v>
      </c>
      <c r="B100" s="44"/>
      <c r="C100" s="35">
        <v>45065</v>
      </c>
      <c r="D100" s="35">
        <v>45070</v>
      </c>
      <c r="E100" s="4"/>
      <c r="F100" s="40"/>
      <c r="G100" s="40"/>
      <c r="H100" s="5">
        <v>11.48</v>
      </c>
      <c r="I100" s="102">
        <f>21/30*5</f>
        <v>3.5</v>
      </c>
      <c r="J100" s="40"/>
      <c r="K100" s="40"/>
      <c r="L100" s="17">
        <f>50</f>
        <v>50</v>
      </c>
      <c r="M100" s="18">
        <v>21</v>
      </c>
      <c r="N100" s="70">
        <f>(50-21)*0.7</f>
        <v>20.299999999999997</v>
      </c>
    </row>
    <row r="101" spans="1:16">
      <c r="A101" s="76" t="s">
        <v>278</v>
      </c>
      <c r="B101" s="52"/>
      <c r="C101" s="57">
        <v>44973</v>
      </c>
      <c r="D101" s="57">
        <v>45070</v>
      </c>
      <c r="E101" s="24"/>
      <c r="F101" s="48"/>
      <c r="G101" s="48"/>
      <c r="H101" s="25">
        <v>11.48</v>
      </c>
      <c r="I101" s="103">
        <f>21/30*98</f>
        <v>68.599999999999994</v>
      </c>
      <c r="J101" s="48"/>
      <c r="K101" s="48"/>
      <c r="L101" s="17">
        <v>50</v>
      </c>
      <c r="M101" s="26">
        <v>21</v>
      </c>
      <c r="N101" s="85">
        <f>(50-21)*0.7</f>
        <v>20.299999999999997</v>
      </c>
    </row>
    <row r="102" spans="1:16">
      <c r="A102" s="44" t="s">
        <v>289</v>
      </c>
      <c r="B102" s="44"/>
      <c r="C102" s="35">
        <v>45110</v>
      </c>
      <c r="D102" s="35">
        <v>45127</v>
      </c>
      <c r="E102" s="4">
        <v>45110</v>
      </c>
      <c r="F102" s="40"/>
      <c r="G102" s="40"/>
      <c r="H102" s="5">
        <v>13.31</v>
      </c>
      <c r="I102" s="102">
        <f>27/30*17</f>
        <v>15.3</v>
      </c>
      <c r="J102" s="40">
        <v>45</v>
      </c>
      <c r="K102" s="40"/>
      <c r="L102" s="6">
        <v>75</v>
      </c>
      <c r="M102" s="6">
        <v>27</v>
      </c>
      <c r="N102" s="59">
        <f>(L102-M102)*0.7</f>
        <v>33.599999999999994</v>
      </c>
    </row>
    <row r="103" spans="1:16">
      <c r="A103" s="44" t="s">
        <v>292</v>
      </c>
      <c r="B103" s="44"/>
      <c r="C103" s="35">
        <v>45138</v>
      </c>
      <c r="D103" s="35">
        <v>45139</v>
      </c>
      <c r="E103" s="35">
        <v>45162</v>
      </c>
      <c r="F103" s="40"/>
      <c r="G103" s="40"/>
      <c r="H103" s="5">
        <v>12.48</v>
      </c>
      <c r="I103" s="102">
        <f>27/30*23</f>
        <v>20.7</v>
      </c>
      <c r="J103" s="40">
        <v>45</v>
      </c>
      <c r="K103" s="40"/>
      <c r="L103" s="6">
        <v>90</v>
      </c>
      <c r="M103" s="6">
        <v>27</v>
      </c>
      <c r="N103" s="59">
        <f>(L103-M103)*0.7</f>
        <v>44.099999999999994</v>
      </c>
    </row>
    <row r="104" spans="1:16">
      <c r="A104" s="44" t="s">
        <v>293</v>
      </c>
      <c r="B104" s="44"/>
      <c r="C104" s="35">
        <v>45086</v>
      </c>
      <c r="D104" s="35">
        <v>45089</v>
      </c>
      <c r="E104" s="4">
        <v>45103</v>
      </c>
      <c r="F104" s="40"/>
      <c r="G104" s="40"/>
      <c r="H104" s="5">
        <v>11.03</v>
      </c>
      <c r="I104" s="102">
        <f>21/30*14</f>
        <v>9.7999999999999989</v>
      </c>
      <c r="J104" s="40"/>
      <c r="K104" s="40"/>
      <c r="L104" s="6">
        <v>50</v>
      </c>
      <c r="M104" s="6">
        <v>21</v>
      </c>
      <c r="N104" s="59">
        <f>(L104-M104)*0.7</f>
        <v>20.299999999999997</v>
      </c>
    </row>
    <row r="105" spans="1:16">
      <c r="A105" s="44" t="s">
        <v>295</v>
      </c>
      <c r="B105" s="44"/>
      <c r="C105" s="35">
        <v>45228</v>
      </c>
      <c r="D105" s="35">
        <v>45203</v>
      </c>
      <c r="E105" s="4"/>
      <c r="F105" s="40"/>
      <c r="G105" s="40"/>
      <c r="H105" s="5">
        <v>13.31</v>
      </c>
      <c r="I105" s="102">
        <f>27/30*5</f>
        <v>4.5</v>
      </c>
      <c r="J105" s="40">
        <v>45</v>
      </c>
      <c r="K105" s="40"/>
      <c r="L105" s="6">
        <v>80</v>
      </c>
      <c r="M105" s="6">
        <v>27</v>
      </c>
      <c r="N105" s="59">
        <f>(L105-M105)*0.7</f>
        <v>37.099999999999994</v>
      </c>
    </row>
    <row r="106" spans="1:16">
      <c r="A106" s="44" t="s">
        <v>320</v>
      </c>
      <c r="B106" s="44"/>
      <c r="C106" s="35">
        <v>45177</v>
      </c>
      <c r="D106" s="35">
        <v>45196</v>
      </c>
      <c r="E106" s="4"/>
      <c r="F106" s="40"/>
      <c r="G106" s="40"/>
      <c r="H106" s="5">
        <v>10.44</v>
      </c>
      <c r="I106" s="102">
        <f>38/30*21</f>
        <v>26.599999999999998</v>
      </c>
      <c r="J106" s="40"/>
      <c r="K106" s="40"/>
      <c r="L106" s="6">
        <v>69</v>
      </c>
      <c r="M106" s="6">
        <v>38</v>
      </c>
      <c r="N106" s="59">
        <f>(69-38)*0.7</f>
        <v>21.7</v>
      </c>
    </row>
    <row r="107" spans="1:16">
      <c r="A107" s="44" t="s">
        <v>325</v>
      </c>
      <c r="B107" s="44"/>
      <c r="C107" s="35"/>
      <c r="D107" s="35">
        <v>45223</v>
      </c>
      <c r="E107" s="4">
        <v>45239</v>
      </c>
      <c r="F107" s="40"/>
      <c r="G107" s="40"/>
      <c r="H107" s="5">
        <v>40</v>
      </c>
      <c r="I107" s="102">
        <f>43/30*15</f>
        <v>21.5</v>
      </c>
      <c r="J107" s="40"/>
      <c r="K107" s="40"/>
      <c r="L107" s="6">
        <v>69</v>
      </c>
      <c r="M107" s="6">
        <v>43</v>
      </c>
      <c r="N107" s="94">
        <f>(69-43)*0.7</f>
        <v>18.2</v>
      </c>
      <c r="O107" s="72" t="s">
        <v>329</v>
      </c>
      <c r="P107" s="72">
        <v>12.74</v>
      </c>
    </row>
    <row r="108" spans="1:16">
      <c r="A108" s="44" t="s">
        <v>326</v>
      </c>
      <c r="B108" s="44"/>
      <c r="C108" s="35"/>
      <c r="D108" s="35">
        <v>45188</v>
      </c>
      <c r="E108" s="4">
        <v>45209</v>
      </c>
      <c r="F108" s="40"/>
      <c r="G108" s="40"/>
      <c r="H108" s="5">
        <v>11.48</v>
      </c>
      <c r="I108" s="102"/>
      <c r="J108" s="40"/>
      <c r="K108" s="40"/>
      <c r="L108" s="6">
        <v>59</v>
      </c>
      <c r="M108" s="6">
        <v>38</v>
      </c>
      <c r="N108" s="59">
        <f>(L108-M108)*0.7</f>
        <v>14.7</v>
      </c>
    </row>
    <row r="109" spans="1:16">
      <c r="A109" s="44" t="s">
        <v>108</v>
      </c>
      <c r="B109" s="44"/>
      <c r="C109" s="35"/>
      <c r="D109" s="35">
        <v>45231</v>
      </c>
      <c r="E109" s="4">
        <v>45231</v>
      </c>
      <c r="F109" s="40"/>
      <c r="G109" s="40"/>
      <c r="H109" s="5"/>
      <c r="I109" s="102"/>
      <c r="J109" s="40"/>
      <c r="K109" s="40"/>
      <c r="L109" s="6">
        <v>69</v>
      </c>
      <c r="M109" s="6">
        <v>43</v>
      </c>
      <c r="N109" s="59">
        <f>(L109-M109)*0.7</f>
        <v>18.2</v>
      </c>
    </row>
    <row r="110" spans="1:16">
      <c r="A110" s="44" t="s">
        <v>327</v>
      </c>
      <c r="B110" s="44"/>
      <c r="C110" s="35"/>
      <c r="D110" s="35"/>
      <c r="E110" s="4">
        <v>45127</v>
      </c>
      <c r="F110" s="40"/>
      <c r="G110" s="40"/>
      <c r="H110" s="5">
        <v>11.48</v>
      </c>
      <c r="I110" s="102"/>
      <c r="J110" s="40"/>
      <c r="K110" s="40"/>
      <c r="L110" s="6">
        <v>25</v>
      </c>
      <c r="M110" s="6">
        <v>9</v>
      </c>
      <c r="N110" s="59">
        <f>(L110-M110)*0.7</f>
        <v>11.2</v>
      </c>
    </row>
    <row r="111" spans="1:16">
      <c r="A111" s="44" t="s">
        <v>336</v>
      </c>
      <c r="B111" s="44"/>
      <c r="C111" s="35"/>
      <c r="D111" s="35">
        <v>45278</v>
      </c>
      <c r="E111" s="4">
        <v>45278</v>
      </c>
      <c r="F111" s="40"/>
      <c r="G111" s="40"/>
      <c r="H111" s="5"/>
      <c r="I111" s="102"/>
      <c r="J111" s="40"/>
      <c r="K111" s="40"/>
      <c r="L111" s="6">
        <v>69</v>
      </c>
      <c r="M111" s="6">
        <v>43</v>
      </c>
      <c r="N111" s="59">
        <f>(69-43)*0.7/30*42</f>
        <v>25.48</v>
      </c>
    </row>
    <row r="112" spans="1:16">
      <c r="A112" s="44" t="s">
        <v>337</v>
      </c>
      <c r="B112" s="44"/>
      <c r="C112" s="35">
        <v>45342</v>
      </c>
      <c r="D112" s="35">
        <v>44977</v>
      </c>
      <c r="E112" s="4">
        <v>45342</v>
      </c>
      <c r="F112" s="40"/>
      <c r="G112" s="40"/>
      <c r="H112" s="5">
        <v>13.78</v>
      </c>
      <c r="I112" s="102"/>
      <c r="J112" s="40">
        <f>45+50</f>
        <v>95</v>
      </c>
      <c r="K112" s="40"/>
      <c r="L112" s="6">
        <v>100</v>
      </c>
      <c r="M112" s="6">
        <v>38.5</v>
      </c>
      <c r="N112" s="59">
        <f t="shared" ref="N112:N127" si="2">(L112-M112)*0.7</f>
        <v>43.05</v>
      </c>
    </row>
    <row r="113" spans="1:15">
      <c r="A113" s="44" t="s">
        <v>338</v>
      </c>
      <c r="B113" s="44"/>
      <c r="C113" s="35">
        <v>45271</v>
      </c>
      <c r="D113" s="35"/>
      <c r="E113" s="4">
        <v>45301</v>
      </c>
      <c r="F113" s="40"/>
      <c r="G113" s="40"/>
      <c r="H113" s="5">
        <v>14.26</v>
      </c>
      <c r="I113" s="102">
        <f>25/30*29</f>
        <v>24.166666666666668</v>
      </c>
      <c r="J113" s="40">
        <f>30+50</f>
        <v>80</v>
      </c>
      <c r="K113" s="40"/>
      <c r="L113" s="6">
        <v>80</v>
      </c>
      <c r="M113" s="6">
        <v>29</v>
      </c>
      <c r="N113" s="59">
        <f t="shared" si="2"/>
        <v>35.699999999999996</v>
      </c>
      <c r="O113" t="s">
        <v>339</v>
      </c>
    </row>
    <row r="114" spans="1:15">
      <c r="A114" s="44" t="s">
        <v>333</v>
      </c>
      <c r="B114" s="44"/>
      <c r="C114" s="35"/>
      <c r="D114" s="35"/>
      <c r="E114" s="4">
        <v>45336</v>
      </c>
      <c r="F114" s="40"/>
      <c r="G114" s="40"/>
      <c r="H114" s="5">
        <v>10</v>
      </c>
      <c r="I114" s="102">
        <v>0</v>
      </c>
      <c r="J114" s="40">
        <v>120</v>
      </c>
      <c r="K114" s="40"/>
      <c r="L114" s="6">
        <v>160</v>
      </c>
      <c r="M114" s="6">
        <v>72</v>
      </c>
      <c r="N114" s="59">
        <f t="shared" si="2"/>
        <v>61.599999999999994</v>
      </c>
    </row>
    <row r="115" spans="1:15">
      <c r="A115" s="44" t="s">
        <v>343</v>
      </c>
      <c r="B115" s="44"/>
      <c r="C115" s="35"/>
      <c r="D115" s="35"/>
      <c r="E115" s="4">
        <v>45336</v>
      </c>
      <c r="F115" s="40"/>
      <c r="G115" s="40"/>
      <c r="H115" s="5">
        <v>10.92</v>
      </c>
      <c r="I115" s="102"/>
      <c r="J115" s="40"/>
      <c r="K115" s="40"/>
      <c r="L115" s="6">
        <v>59</v>
      </c>
      <c r="M115" s="6">
        <v>38</v>
      </c>
      <c r="N115" s="59">
        <f t="shared" si="2"/>
        <v>14.7</v>
      </c>
    </row>
    <row r="116" spans="1:15">
      <c r="A116" s="44" t="s">
        <v>381</v>
      </c>
      <c r="B116" s="44"/>
      <c r="C116" s="35"/>
      <c r="D116" s="35">
        <v>45323</v>
      </c>
      <c r="E116" s="4">
        <v>45323</v>
      </c>
      <c r="F116" s="40"/>
      <c r="G116" s="40"/>
      <c r="H116" s="5">
        <v>10.92</v>
      </c>
      <c r="I116" s="102"/>
      <c r="J116" s="40"/>
      <c r="K116" s="40"/>
      <c r="L116" s="6">
        <v>59</v>
      </c>
      <c r="M116" s="6">
        <v>38</v>
      </c>
      <c r="N116" s="59">
        <f t="shared" si="2"/>
        <v>14.7</v>
      </c>
    </row>
    <row r="117" spans="1:15">
      <c r="A117" s="44" t="s">
        <v>345</v>
      </c>
      <c r="B117" s="44"/>
      <c r="C117" s="35"/>
      <c r="D117" s="35"/>
      <c r="E117" s="4">
        <v>45345</v>
      </c>
      <c r="F117" s="40"/>
      <c r="G117" s="40"/>
      <c r="H117" s="5">
        <v>24.2</v>
      </c>
      <c r="I117" s="102"/>
      <c r="J117" s="40">
        <v>45</v>
      </c>
      <c r="K117" s="40"/>
      <c r="L117" s="6">
        <v>90</v>
      </c>
      <c r="M117" s="6">
        <f>7+9</f>
        <v>16</v>
      </c>
      <c r="N117" s="59">
        <f t="shared" si="2"/>
        <v>51.8</v>
      </c>
    </row>
    <row r="118" spans="1:15">
      <c r="A118" s="44" t="s">
        <v>346</v>
      </c>
      <c r="B118" s="44"/>
      <c r="C118" s="35"/>
      <c r="D118" s="35"/>
      <c r="E118" s="4">
        <v>45334</v>
      </c>
      <c r="F118" s="40"/>
      <c r="G118" s="40"/>
      <c r="H118" s="5">
        <v>12.01</v>
      </c>
      <c r="I118" s="102"/>
      <c r="J118" s="40">
        <v>15</v>
      </c>
      <c r="K118" s="40"/>
      <c r="L118" s="6">
        <v>20</v>
      </c>
      <c r="M118" s="6">
        <v>9</v>
      </c>
      <c r="N118" s="70">
        <f t="shared" si="2"/>
        <v>7.6999999999999993</v>
      </c>
    </row>
    <row r="119" spans="1:15">
      <c r="A119" s="44" t="s">
        <v>361</v>
      </c>
      <c r="B119" s="44"/>
      <c r="C119" s="35"/>
      <c r="D119" s="35">
        <v>45366</v>
      </c>
      <c r="E119" s="4">
        <v>45385</v>
      </c>
      <c r="F119" s="40"/>
      <c r="G119" s="40"/>
      <c r="H119" s="5"/>
      <c r="I119" s="102">
        <f>69/30*18</f>
        <v>41.4</v>
      </c>
      <c r="J119" s="40"/>
      <c r="K119" s="40"/>
      <c r="L119" s="6">
        <v>69</v>
      </c>
      <c r="M119" s="6">
        <v>43</v>
      </c>
      <c r="N119" s="70">
        <f t="shared" si="2"/>
        <v>18.2</v>
      </c>
    </row>
    <row r="120" spans="1:15">
      <c r="A120" s="44" t="s">
        <v>365</v>
      </c>
      <c r="B120" s="44"/>
      <c r="C120" s="35"/>
      <c r="D120" s="35">
        <v>45450</v>
      </c>
      <c r="E120" s="4">
        <v>45456</v>
      </c>
      <c r="F120" s="40"/>
      <c r="G120" s="40"/>
      <c r="H120" s="5"/>
      <c r="I120" s="102">
        <f>47/30*5</f>
        <v>7.833333333333333</v>
      </c>
      <c r="J120" s="40"/>
      <c r="K120" s="40"/>
      <c r="L120" s="6">
        <v>69</v>
      </c>
      <c r="M120" s="6">
        <v>47</v>
      </c>
      <c r="N120" s="59">
        <f t="shared" si="2"/>
        <v>15.399999999999999</v>
      </c>
    </row>
    <row r="121" spans="1:15">
      <c r="A121" s="44" t="s">
        <v>358</v>
      </c>
      <c r="B121" s="44"/>
      <c r="C121" s="35"/>
      <c r="D121" s="35">
        <v>45468</v>
      </c>
      <c r="E121" s="4">
        <v>45468</v>
      </c>
      <c r="F121" s="40"/>
      <c r="G121" s="40"/>
      <c r="H121" s="5">
        <v>12.01</v>
      </c>
      <c r="I121" s="102"/>
      <c r="J121" s="40"/>
      <c r="K121" s="40"/>
      <c r="L121" s="6">
        <v>59</v>
      </c>
      <c r="M121" s="6">
        <v>38</v>
      </c>
      <c r="N121" s="59">
        <f t="shared" si="2"/>
        <v>14.7</v>
      </c>
    </row>
    <row r="122" spans="1:15">
      <c r="A122" s="44" t="s">
        <v>218</v>
      </c>
      <c r="B122" s="44"/>
      <c r="C122" s="35"/>
      <c r="D122" s="35">
        <v>45456</v>
      </c>
      <c r="E122" s="4">
        <v>45456</v>
      </c>
      <c r="F122" s="40"/>
      <c r="G122" s="40"/>
      <c r="H122" s="5">
        <v>10</v>
      </c>
      <c r="I122" s="102"/>
      <c r="J122" s="40">
        <v>45</v>
      </c>
      <c r="K122" s="40"/>
      <c r="L122" s="6">
        <v>80</v>
      </c>
      <c r="M122" s="6">
        <v>27</v>
      </c>
      <c r="N122" s="59">
        <f t="shared" si="2"/>
        <v>37.099999999999994</v>
      </c>
    </row>
    <row r="123" spans="1:15">
      <c r="A123" s="44" t="s">
        <v>366</v>
      </c>
      <c r="B123" s="44"/>
      <c r="C123" s="35"/>
      <c r="D123" s="35">
        <v>45454</v>
      </c>
      <c r="E123" s="4"/>
      <c r="F123" s="40"/>
      <c r="G123" s="40"/>
      <c r="H123" s="5"/>
      <c r="I123" s="102"/>
      <c r="J123" s="40"/>
      <c r="K123" s="40"/>
      <c r="L123" s="6">
        <v>59</v>
      </c>
      <c r="M123" s="6">
        <v>38</v>
      </c>
      <c r="N123" s="59">
        <f t="shared" si="2"/>
        <v>14.7</v>
      </c>
    </row>
    <row r="124" spans="1:15">
      <c r="A124" s="44" t="s">
        <v>64</v>
      </c>
      <c r="B124" s="44"/>
      <c r="C124" s="35"/>
      <c r="D124" s="35">
        <v>45469</v>
      </c>
      <c r="E124" s="4">
        <v>45469</v>
      </c>
      <c r="F124" s="40"/>
      <c r="G124" s="40"/>
      <c r="H124" s="5"/>
      <c r="I124" s="102"/>
      <c r="J124" s="40"/>
      <c r="K124" s="40"/>
      <c r="L124" s="6">
        <v>100</v>
      </c>
      <c r="M124" s="18">
        <v>5</v>
      </c>
      <c r="N124" s="59">
        <f t="shared" si="2"/>
        <v>66.5</v>
      </c>
    </row>
    <row r="125" spans="1:15">
      <c r="A125" s="44" t="s">
        <v>369</v>
      </c>
      <c r="B125" s="44"/>
      <c r="C125" s="35"/>
      <c r="D125" s="35">
        <v>45464</v>
      </c>
      <c r="E125" s="4">
        <v>41811</v>
      </c>
      <c r="F125" s="40"/>
      <c r="G125" s="40"/>
      <c r="H125" s="5">
        <v>24.98</v>
      </c>
      <c r="I125" s="102"/>
      <c r="J125" s="40">
        <v>15</v>
      </c>
      <c r="K125" s="40"/>
      <c r="L125" s="6">
        <v>80</v>
      </c>
      <c r="M125" s="6">
        <v>42.5</v>
      </c>
      <c r="N125" s="59">
        <f t="shared" si="2"/>
        <v>26.25</v>
      </c>
    </row>
    <row r="126" spans="1:15">
      <c r="A126" s="44" t="s">
        <v>370</v>
      </c>
      <c r="B126" s="44"/>
      <c r="C126" s="35"/>
      <c r="D126" s="35">
        <v>45444</v>
      </c>
      <c r="E126" s="4">
        <v>41791</v>
      </c>
      <c r="F126" s="40"/>
      <c r="G126" s="40"/>
      <c r="H126" s="5">
        <v>12.98</v>
      </c>
      <c r="I126" s="102"/>
      <c r="J126" s="40">
        <v>30</v>
      </c>
      <c r="K126" s="40"/>
      <c r="L126" s="6">
        <v>65</v>
      </c>
      <c r="M126" s="6">
        <v>18</v>
      </c>
      <c r="N126" s="59">
        <f t="shared" si="2"/>
        <v>32.9</v>
      </c>
    </row>
    <row r="127" spans="1:15">
      <c r="A127" s="44" t="s">
        <v>375</v>
      </c>
      <c r="B127" s="44"/>
      <c r="C127" s="35"/>
      <c r="D127" s="35">
        <v>45471</v>
      </c>
      <c r="E127" s="35">
        <v>45471</v>
      </c>
      <c r="F127" s="40"/>
      <c r="G127" s="40"/>
      <c r="H127" s="5">
        <f>10+12.01</f>
        <v>22.009999999999998</v>
      </c>
      <c r="I127" s="102"/>
      <c r="J127" s="40">
        <v>30</v>
      </c>
      <c r="K127" s="40"/>
      <c r="L127" s="6">
        <v>90</v>
      </c>
      <c r="M127" s="18">
        <f>38.5+1+18</f>
        <v>57.5</v>
      </c>
      <c r="N127" s="70">
        <f t="shared" si="2"/>
        <v>22.75</v>
      </c>
    </row>
    <row r="128" spans="1:15">
      <c r="A128" s="44" t="s">
        <v>83</v>
      </c>
      <c r="B128" s="44"/>
      <c r="C128" s="35"/>
      <c r="D128" s="35">
        <v>45482</v>
      </c>
      <c r="E128" s="35">
        <v>45482</v>
      </c>
      <c r="F128" s="40"/>
      <c r="G128" s="40"/>
      <c r="H128" s="5"/>
      <c r="I128" s="102"/>
      <c r="J128" s="40"/>
      <c r="K128" s="40"/>
      <c r="L128" s="6">
        <v>69</v>
      </c>
      <c r="M128" s="18">
        <v>43</v>
      </c>
      <c r="N128" s="70">
        <f>(L128-M128)*0.7</f>
        <v>18.2</v>
      </c>
    </row>
    <row r="129" spans="1:16">
      <c r="A129" s="44" t="s">
        <v>383</v>
      </c>
      <c r="B129" s="44"/>
      <c r="C129" s="35"/>
      <c r="D129" s="35">
        <v>45434</v>
      </c>
      <c r="E129" s="35">
        <v>45513</v>
      </c>
      <c r="F129" s="40"/>
      <c r="G129" s="40"/>
      <c r="H129" s="5">
        <v>14.58</v>
      </c>
      <c r="I129" s="102"/>
      <c r="J129" s="40"/>
      <c r="K129" s="40"/>
      <c r="L129" s="6">
        <v>69</v>
      </c>
      <c r="M129" s="18">
        <v>43</v>
      </c>
      <c r="N129" s="70">
        <f>(L129-M129)*0.7</f>
        <v>18.2</v>
      </c>
    </row>
    <row r="130" spans="1:16">
      <c r="A130" s="44" t="s">
        <v>384</v>
      </c>
      <c r="B130" s="44"/>
      <c r="C130" s="35"/>
      <c r="D130" s="35"/>
      <c r="E130" s="35">
        <v>45513</v>
      </c>
      <c r="F130" s="40"/>
      <c r="G130" s="40"/>
      <c r="H130" s="5"/>
      <c r="I130" s="102"/>
      <c r="J130" s="40">
        <v>60</v>
      </c>
      <c r="K130" s="40"/>
      <c r="L130" s="6">
        <v>105</v>
      </c>
      <c r="M130" s="6">
        <v>36</v>
      </c>
      <c r="N130" s="70">
        <f>(L130-M130)*0.7</f>
        <v>48.3</v>
      </c>
    </row>
    <row r="131" spans="1:16">
      <c r="A131" s="10" t="s">
        <v>389</v>
      </c>
      <c r="B131" s="44"/>
      <c r="C131" s="35"/>
      <c r="D131" s="35">
        <v>45574</v>
      </c>
      <c r="E131" s="35">
        <v>45574</v>
      </c>
      <c r="F131" s="40"/>
      <c r="G131" s="40"/>
      <c r="H131" s="5"/>
      <c r="I131" s="102"/>
      <c r="J131" s="40"/>
      <c r="K131" s="40"/>
      <c r="L131" s="6">
        <v>10</v>
      </c>
      <c r="M131" s="6">
        <v>1</v>
      </c>
      <c r="N131" s="59">
        <f>(L131-M131)*0.7/30*21</f>
        <v>4.41</v>
      </c>
    </row>
    <row r="132" spans="1:16">
      <c r="A132" s="10" t="s">
        <v>397</v>
      </c>
      <c r="B132" s="44"/>
      <c r="C132" s="35"/>
      <c r="D132" s="35">
        <v>45510</v>
      </c>
      <c r="E132" s="35">
        <v>45574</v>
      </c>
      <c r="F132" s="40"/>
      <c r="G132" s="40"/>
      <c r="H132" s="5">
        <v>31.89</v>
      </c>
      <c r="I132" s="102">
        <f>79/30*63*0.5</f>
        <v>82.95</v>
      </c>
      <c r="J132" s="40">
        <v>60</v>
      </c>
      <c r="K132" s="40"/>
      <c r="L132" s="6">
        <v>174</v>
      </c>
      <c r="M132" s="6">
        <v>79</v>
      </c>
      <c r="N132" s="59">
        <f>(L132-M132)*0.7/30*21</f>
        <v>46.550000000000004</v>
      </c>
    </row>
    <row r="133" spans="1:16">
      <c r="A133" s="10" t="s">
        <v>398</v>
      </c>
      <c r="B133" s="44"/>
      <c r="C133" s="35"/>
      <c r="D133" s="35">
        <v>45516</v>
      </c>
      <c r="E133" s="35">
        <v>45583</v>
      </c>
      <c r="F133" s="40"/>
      <c r="G133" s="40"/>
      <c r="H133" s="5"/>
      <c r="I133" s="102">
        <f>56.5/30*66*0.5</f>
        <v>62.15</v>
      </c>
      <c r="J133" s="40">
        <v>75</v>
      </c>
      <c r="K133" s="40"/>
      <c r="L133" s="6">
        <v>140</v>
      </c>
      <c r="M133" s="6">
        <v>56.5</v>
      </c>
      <c r="N133" s="59">
        <f>(L133-M133)*0.7/30*18</f>
        <v>35.07</v>
      </c>
    </row>
    <row r="134" spans="1:16">
      <c r="A134" s="10"/>
      <c r="B134" s="44"/>
      <c r="C134" s="35"/>
      <c r="D134" s="35"/>
      <c r="E134" s="35"/>
      <c r="F134" s="40"/>
      <c r="G134" s="40"/>
      <c r="H134" s="5"/>
      <c r="I134" s="102"/>
      <c r="J134" s="40"/>
      <c r="K134" s="40"/>
      <c r="L134" s="6"/>
      <c r="M134" s="6"/>
      <c r="N134" s="59"/>
    </row>
    <row r="135" spans="1:16">
      <c r="C135" s="36"/>
      <c r="D135" s="36"/>
      <c r="F135" s="28"/>
      <c r="G135" s="28"/>
      <c r="H135" s="30"/>
      <c r="I135" s="30" t="s">
        <v>400</v>
      </c>
      <c r="M135" s="62" t="s">
        <v>4</v>
      </c>
      <c r="N135" s="18">
        <f>SUM(N2:N133)</f>
        <v>4775.159999999998</v>
      </c>
    </row>
    <row r="136" spans="1:16">
      <c r="C136" s="36"/>
      <c r="D136" s="36"/>
      <c r="F136" s="28"/>
      <c r="G136" s="28"/>
      <c r="H136" s="30"/>
      <c r="I136" s="104"/>
      <c r="M136" s="61" t="s">
        <v>251</v>
      </c>
      <c r="N136" s="6">
        <f>N135-311.99+35</f>
        <v>4498.1699999999983</v>
      </c>
    </row>
    <row r="137" spans="1:16">
      <c r="C137" s="36"/>
      <c r="D137" s="36"/>
      <c r="F137" s="28"/>
      <c r="G137" s="28"/>
      <c r="H137" s="30"/>
      <c r="I137" s="104"/>
    </row>
    <row r="139" spans="1:16">
      <c r="A139" s="28"/>
      <c r="B139" s="28"/>
      <c r="E139" s="15"/>
      <c r="F139" s="1"/>
      <c r="G139" s="1"/>
      <c r="H139" s="1"/>
      <c r="J139" s="1"/>
      <c r="K139" s="1"/>
      <c r="L139" s="1"/>
      <c r="M139" s="1"/>
      <c r="N139" s="29"/>
    </row>
    <row r="140" spans="1:16">
      <c r="L140" s="1"/>
      <c r="M140" s="1"/>
    </row>
    <row r="141" spans="1:16">
      <c r="H141" s="30"/>
      <c r="L141" s="1"/>
      <c r="M141"/>
    </row>
    <row r="142" spans="1:16">
      <c r="L142" t="s">
        <v>399</v>
      </c>
      <c r="M142"/>
      <c r="N142">
        <f>50*0.7</f>
        <v>35</v>
      </c>
      <c r="P142" s="42"/>
    </row>
    <row r="143" spans="1:16">
      <c r="L143" s="1" t="s">
        <v>391</v>
      </c>
    </row>
    <row r="144" spans="1:16">
      <c r="L144" s="1"/>
      <c r="P144" s="42"/>
    </row>
    <row r="145" spans="12:16">
      <c r="L145" s="1"/>
    </row>
    <row r="146" spans="12:16">
      <c r="L146" s="1"/>
      <c r="P146" s="42"/>
    </row>
    <row r="147" spans="12:16">
      <c r="L147" s="1"/>
    </row>
    <row r="148" spans="12:16">
      <c r="L148" s="1"/>
    </row>
  </sheetData>
  <autoFilter ref="A1:P136">
    <sortState ref="A2:P96">
      <sortCondition ref="B1:B96"/>
    </sortState>
  </autoFilter>
  <phoneticPr fontId="3" type="noConversion"/>
  <pageMargins left="0.7" right="0.7" top="0.75" bottom="0.75" header="0.3" footer="0.3"/>
  <pageSetup paperSize="9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>
  <dimension ref="A1:P147"/>
  <sheetViews>
    <sheetView topLeftCell="B123" workbookViewId="0">
      <selection activeCell="N133" sqref="N133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2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44</v>
      </c>
      <c r="B19" s="2"/>
      <c r="C19" s="4">
        <v>43196</v>
      </c>
      <c r="D19" s="4"/>
      <c r="E19" s="4">
        <v>43250</v>
      </c>
      <c r="F19" s="5"/>
      <c r="G19" s="49"/>
      <c r="H19" s="5">
        <v>13.78</v>
      </c>
      <c r="I19" s="102">
        <f>25*24/30+25</f>
        <v>45</v>
      </c>
      <c r="J19" s="5"/>
      <c r="K19" s="5"/>
      <c r="L19" s="6">
        <v>11</v>
      </c>
      <c r="M19" s="61">
        <v>25</v>
      </c>
      <c r="N19" s="6">
        <v>9.7999999999999989</v>
      </c>
    </row>
    <row r="20" spans="1:15">
      <c r="A20" s="22" t="s">
        <v>47</v>
      </c>
      <c r="B20" s="22"/>
      <c r="C20" s="4">
        <v>43355</v>
      </c>
      <c r="D20" s="4"/>
      <c r="E20" s="4">
        <v>43277</v>
      </c>
      <c r="F20" s="5"/>
      <c r="G20" s="49"/>
      <c r="H20" s="5">
        <v>19.98</v>
      </c>
      <c r="I20" s="102">
        <f>36*2+36/30*16</f>
        <v>91.2</v>
      </c>
      <c r="J20" s="5"/>
      <c r="K20" s="5"/>
      <c r="L20" s="6">
        <v>105</v>
      </c>
      <c r="M20" s="61">
        <v>36</v>
      </c>
      <c r="N20" s="6">
        <f t="shared" si="0"/>
        <v>48.3</v>
      </c>
    </row>
    <row r="21" spans="1:15">
      <c r="A21" s="22" t="s">
        <v>48</v>
      </c>
      <c r="B21" s="22"/>
      <c r="C21" s="4">
        <v>43367</v>
      </c>
      <c r="D21" s="4"/>
      <c r="E21" s="4">
        <v>43284</v>
      </c>
      <c r="F21" s="5"/>
      <c r="G21" s="49"/>
      <c r="H21" s="5">
        <v>9.1</v>
      </c>
      <c r="I21" s="102">
        <f>25+25/30*27</f>
        <v>47.5</v>
      </c>
      <c r="J21" s="5"/>
      <c r="K21" s="5"/>
      <c r="L21" s="6">
        <v>75</v>
      </c>
      <c r="M21" s="61">
        <v>25</v>
      </c>
      <c r="N21" s="6">
        <f t="shared" si="0"/>
        <v>35</v>
      </c>
    </row>
    <row r="22" spans="1:15">
      <c r="A22" s="2" t="s">
        <v>45</v>
      </c>
      <c r="B22" s="2"/>
      <c r="C22" s="4"/>
      <c r="D22" s="4"/>
      <c r="E22" s="4">
        <v>43286</v>
      </c>
      <c r="F22" s="5"/>
      <c r="G22" s="49"/>
      <c r="H22" s="5">
        <v>11.56</v>
      </c>
      <c r="I22" s="102"/>
      <c r="J22" s="5"/>
      <c r="K22" s="5"/>
      <c r="L22" s="6">
        <v>150</v>
      </c>
      <c r="M22" s="61">
        <v>76</v>
      </c>
      <c r="N22" s="6">
        <f t="shared" si="0"/>
        <v>51.8</v>
      </c>
      <c r="O22" s="20"/>
    </row>
    <row r="23" spans="1:15">
      <c r="A23" s="22" t="s">
        <v>49</v>
      </c>
      <c r="B23" s="22"/>
      <c r="C23" s="4">
        <v>43367</v>
      </c>
      <c r="D23" s="4"/>
      <c r="E23" s="4">
        <v>43291</v>
      </c>
      <c r="F23" s="5"/>
      <c r="G23" s="49"/>
      <c r="H23" s="5">
        <v>10.039999999999999</v>
      </c>
      <c r="I23" s="102">
        <f>50+25/30*14</f>
        <v>61.666666666666671</v>
      </c>
      <c r="J23" s="5"/>
      <c r="K23" s="5"/>
      <c r="L23" s="6">
        <v>50</v>
      </c>
      <c r="M23" s="61">
        <v>22</v>
      </c>
      <c r="N23" s="18">
        <f t="shared" si="0"/>
        <v>19.599999999999998</v>
      </c>
    </row>
    <row r="24" spans="1:15">
      <c r="A24" s="22" t="s">
        <v>51</v>
      </c>
      <c r="B24" s="22"/>
      <c r="C24" s="4">
        <v>43358</v>
      </c>
      <c r="D24" s="4"/>
      <c r="E24" s="4">
        <v>43291</v>
      </c>
      <c r="F24" s="5"/>
      <c r="G24" s="49"/>
      <c r="H24" s="5">
        <v>10.039999999999999</v>
      </c>
      <c r="I24" s="102">
        <f>50+25/30*5</f>
        <v>54.166666666666664</v>
      </c>
      <c r="J24" s="5"/>
      <c r="K24" s="5"/>
      <c r="L24" s="6">
        <v>75</v>
      </c>
      <c r="M24" s="61">
        <v>25</v>
      </c>
      <c r="N24" s="6">
        <f t="shared" si="0"/>
        <v>35</v>
      </c>
    </row>
    <row r="25" spans="1:15">
      <c r="A25" s="22" t="s">
        <v>52</v>
      </c>
      <c r="B25" s="22"/>
      <c r="C25" s="4">
        <v>43367</v>
      </c>
      <c r="D25" s="4"/>
      <c r="E25" s="4">
        <v>43308</v>
      </c>
      <c r="F25" s="5"/>
      <c r="G25" s="49"/>
      <c r="H25" s="5">
        <v>10.86</v>
      </c>
      <c r="I25" s="102">
        <f>25+25/30*27</f>
        <v>47.5</v>
      </c>
      <c r="J25" s="5"/>
      <c r="K25" s="5"/>
      <c r="L25" s="6">
        <v>75</v>
      </c>
      <c r="M25" s="61">
        <v>25</v>
      </c>
      <c r="N25" s="27">
        <f t="shared" si="0"/>
        <v>35</v>
      </c>
    </row>
    <row r="26" spans="1:15">
      <c r="A26" s="22" t="s">
        <v>50</v>
      </c>
      <c r="B26" s="22"/>
      <c r="C26" s="4">
        <v>43367</v>
      </c>
      <c r="D26" s="4"/>
      <c r="E26" s="4">
        <v>43312</v>
      </c>
      <c r="F26" s="5"/>
      <c r="G26" s="49"/>
      <c r="H26" s="5">
        <v>10.86</v>
      </c>
      <c r="I26" s="102">
        <f>25+25/30*24</f>
        <v>45</v>
      </c>
      <c r="J26" s="5"/>
      <c r="K26" s="5"/>
      <c r="L26" s="6">
        <v>70</v>
      </c>
      <c r="M26" s="61">
        <v>25</v>
      </c>
      <c r="N26" s="6">
        <f t="shared" si="0"/>
        <v>31.499999999999996</v>
      </c>
    </row>
    <row r="27" spans="1:15">
      <c r="A27" s="22" t="s">
        <v>55</v>
      </c>
      <c r="B27" s="22"/>
      <c r="C27" s="4">
        <v>43363</v>
      </c>
      <c r="D27" s="4"/>
      <c r="E27" s="4">
        <v>43440</v>
      </c>
      <c r="F27" s="5"/>
      <c r="G27" s="49"/>
      <c r="H27" s="5">
        <v>14.11</v>
      </c>
      <c r="I27" s="102">
        <f>25*2+25*16/30</f>
        <v>63.333333333333336</v>
      </c>
      <c r="J27" s="5"/>
      <c r="K27" s="5"/>
      <c r="L27" s="6">
        <v>75</v>
      </c>
      <c r="M27" s="61">
        <v>25</v>
      </c>
      <c r="N27" s="6">
        <f t="shared" si="0"/>
        <v>35</v>
      </c>
    </row>
    <row r="28" spans="1:15">
      <c r="A28" s="22" t="s">
        <v>54</v>
      </c>
      <c r="B28" s="22"/>
      <c r="C28" s="4">
        <v>43167</v>
      </c>
      <c r="D28" s="4"/>
      <c r="E28" s="4">
        <v>43455</v>
      </c>
      <c r="F28" s="5"/>
      <c r="G28" s="49"/>
      <c r="H28" s="5">
        <v>10.86</v>
      </c>
      <c r="I28" s="102">
        <f>9*25+25*13/30</f>
        <v>235.83333333333334</v>
      </c>
      <c r="J28" s="5"/>
      <c r="K28" s="5"/>
      <c r="L28" s="6">
        <v>90</v>
      </c>
      <c r="M28" s="61">
        <v>36</v>
      </c>
      <c r="N28" s="6">
        <f t="shared" si="0"/>
        <v>37.799999999999997</v>
      </c>
    </row>
    <row r="29" spans="1:15">
      <c r="A29" s="22" t="s">
        <v>57</v>
      </c>
      <c r="B29" s="55"/>
      <c r="C29" s="31">
        <v>43478</v>
      </c>
      <c r="D29" s="31"/>
      <c r="E29" s="4">
        <v>43536</v>
      </c>
      <c r="F29" s="5"/>
      <c r="G29" s="49"/>
      <c r="H29" s="5">
        <v>10.86</v>
      </c>
      <c r="I29" s="102">
        <v>25</v>
      </c>
      <c r="J29" s="5"/>
      <c r="K29" s="5"/>
      <c r="L29" s="6">
        <v>70</v>
      </c>
      <c r="M29" s="61">
        <v>25</v>
      </c>
      <c r="N29" s="6">
        <f t="shared" si="0"/>
        <v>31.499999999999996</v>
      </c>
    </row>
    <row r="30" spans="1:15">
      <c r="A30" s="22" t="s">
        <v>59</v>
      </c>
      <c r="B30" s="22"/>
      <c r="C30" s="4">
        <v>43528</v>
      </c>
      <c r="D30" s="4"/>
      <c r="E30" s="4">
        <v>43538</v>
      </c>
      <c r="F30" s="5"/>
      <c r="G30" s="49"/>
      <c r="H30" s="5">
        <v>14.92</v>
      </c>
      <c r="I30" s="102">
        <f>77/30*10</f>
        <v>25.666666666666668</v>
      </c>
      <c r="J30" s="5"/>
      <c r="K30" s="5"/>
      <c r="L30" s="6">
        <v>169</v>
      </c>
      <c r="M30" s="61">
        <f>64+11+2</f>
        <v>77</v>
      </c>
      <c r="N30" s="6">
        <f t="shared" si="0"/>
        <v>64.399999999999991</v>
      </c>
    </row>
    <row r="31" spans="1:15">
      <c r="A31" s="22" t="s">
        <v>58</v>
      </c>
      <c r="B31" s="22"/>
      <c r="C31" s="4">
        <v>43534</v>
      </c>
      <c r="D31" s="4"/>
      <c r="E31" s="4">
        <v>43542</v>
      </c>
      <c r="F31" s="5"/>
      <c r="G31" s="49"/>
      <c r="H31" s="5">
        <f>10.86*2</f>
        <v>21.72</v>
      </c>
      <c r="I31" s="102">
        <v>0</v>
      </c>
      <c r="J31" s="5"/>
      <c r="K31" s="5"/>
      <c r="L31" s="6">
        <v>60</v>
      </c>
      <c r="M31" s="61">
        <v>33</v>
      </c>
      <c r="N31" s="6">
        <v>18.899999999999999</v>
      </c>
    </row>
    <row r="32" spans="1:15">
      <c r="A32" s="22" t="s">
        <v>61</v>
      </c>
      <c r="B32" s="22"/>
      <c r="C32" s="4">
        <v>43482</v>
      </c>
      <c r="D32" s="4"/>
      <c r="E32" s="4">
        <v>43542</v>
      </c>
      <c r="F32" s="5"/>
      <c r="G32" s="49"/>
      <c r="H32" s="5">
        <v>11.1</v>
      </c>
      <c r="I32" s="102">
        <f>25*2</f>
        <v>50</v>
      </c>
      <c r="J32" s="5"/>
      <c r="K32" s="5"/>
      <c r="L32" s="6">
        <v>70</v>
      </c>
      <c r="M32" s="61">
        <v>26</v>
      </c>
      <c r="N32" s="6">
        <f t="shared" si="0"/>
        <v>30.799999999999997</v>
      </c>
    </row>
    <row r="33" spans="1:16">
      <c r="A33" s="22" t="s">
        <v>67</v>
      </c>
      <c r="B33" s="22"/>
      <c r="C33" s="4">
        <v>43600</v>
      </c>
      <c r="D33" s="4"/>
      <c r="E33" s="4">
        <v>43629</v>
      </c>
      <c r="F33" s="5"/>
      <c r="G33" s="49"/>
      <c r="H33" s="5">
        <f>10.86*2</f>
        <v>21.72</v>
      </c>
      <c r="I33" s="102">
        <f>22/30*58</f>
        <v>42.533333333333331</v>
      </c>
      <c r="J33" s="5">
        <v>50</v>
      </c>
      <c r="K33" s="5">
        <f>H33+I33+J33</f>
        <v>114.25333333333333</v>
      </c>
      <c r="L33" s="6">
        <v>60</v>
      </c>
      <c r="M33" s="61">
        <v>25</v>
      </c>
      <c r="N33" s="6">
        <v>0</v>
      </c>
    </row>
    <row r="34" spans="1:16">
      <c r="A34" s="22" t="s">
        <v>66</v>
      </c>
      <c r="B34" s="22"/>
      <c r="C34" s="4">
        <v>43600</v>
      </c>
      <c r="D34" s="4"/>
      <c r="E34" s="4">
        <v>43629</v>
      </c>
      <c r="F34" s="5"/>
      <c r="G34" s="49"/>
      <c r="H34" s="5">
        <f>10.86</f>
        <v>10.86</v>
      </c>
      <c r="I34" s="102">
        <f>39/30*58</f>
        <v>75.400000000000006</v>
      </c>
      <c r="J34" s="5"/>
      <c r="K34" s="5">
        <f>H34+I34</f>
        <v>86.26</v>
      </c>
      <c r="L34" s="6">
        <v>110</v>
      </c>
      <c r="M34" s="61">
        <f>25+11+3</f>
        <v>39</v>
      </c>
      <c r="N34" s="6">
        <v>0</v>
      </c>
      <c r="O34" t="s">
        <v>73</v>
      </c>
    </row>
    <row r="35" spans="1:16">
      <c r="A35" s="22" t="s">
        <v>64</v>
      </c>
      <c r="B35" s="22"/>
      <c r="C35" s="4">
        <v>43627</v>
      </c>
      <c r="D35" s="4"/>
      <c r="E35" s="4">
        <v>43629</v>
      </c>
      <c r="F35" s="5"/>
      <c r="G35" s="49"/>
      <c r="H35" s="5">
        <v>10.86</v>
      </c>
      <c r="I35" s="102">
        <f>25/30*2</f>
        <v>1.6666666666666667</v>
      </c>
      <c r="J35" s="5"/>
      <c r="K35" s="5">
        <f>H35+I35</f>
        <v>12.526666666666666</v>
      </c>
      <c r="L35" s="6">
        <v>200</v>
      </c>
      <c r="M35" s="61">
        <v>11</v>
      </c>
      <c r="N35" s="5">
        <f t="shared" ref="N35:N46" si="1">(L35-M35)*0.7</f>
        <v>132.29999999999998</v>
      </c>
    </row>
    <row r="36" spans="1:16">
      <c r="A36" s="22" t="s">
        <v>65</v>
      </c>
      <c r="B36" s="22"/>
      <c r="C36" s="4">
        <v>43622</v>
      </c>
      <c r="D36" s="4"/>
      <c r="E36" s="4">
        <v>43650</v>
      </c>
      <c r="F36" s="5"/>
      <c r="G36" s="49"/>
      <c r="H36" s="5">
        <v>10.86</v>
      </c>
      <c r="I36" s="102"/>
      <c r="J36" s="5"/>
      <c r="K36" s="5"/>
      <c r="L36" s="6">
        <v>120</v>
      </c>
      <c r="M36" s="61">
        <v>60</v>
      </c>
      <c r="N36" s="6">
        <f t="shared" si="1"/>
        <v>42</v>
      </c>
    </row>
    <row r="37" spans="1:16">
      <c r="A37" s="22" t="s">
        <v>71</v>
      </c>
      <c r="B37" s="22"/>
      <c r="C37" s="4">
        <v>43635</v>
      </c>
      <c r="D37" s="4"/>
      <c r="E37" s="4">
        <v>43662</v>
      </c>
      <c r="F37" s="5"/>
      <c r="G37" s="49"/>
      <c r="H37" s="5">
        <f>10.86*2</f>
        <v>21.72</v>
      </c>
      <c r="I37" s="102"/>
      <c r="J37" s="5"/>
      <c r="K37" s="5"/>
      <c r="L37" s="6">
        <v>70</v>
      </c>
      <c r="M37" s="61">
        <v>26</v>
      </c>
      <c r="N37" s="6">
        <f t="shared" si="1"/>
        <v>30.799999999999997</v>
      </c>
      <c r="O37" t="s">
        <v>72</v>
      </c>
    </row>
    <row r="38" spans="1:16">
      <c r="A38" s="2" t="s">
        <v>75</v>
      </c>
      <c r="B38" s="2"/>
      <c r="C38" s="4">
        <v>43656</v>
      </c>
      <c r="D38" s="4"/>
      <c r="E38" s="4">
        <v>43711</v>
      </c>
      <c r="F38" s="5"/>
      <c r="G38" s="49"/>
      <c r="H38" s="5">
        <v>10.86</v>
      </c>
      <c r="I38" s="102">
        <f>36/30*48</f>
        <v>57.599999999999994</v>
      </c>
      <c r="J38" s="5"/>
      <c r="K38" s="5"/>
      <c r="L38" s="6">
        <v>105</v>
      </c>
      <c r="M38" s="61">
        <v>36</v>
      </c>
      <c r="N38" s="6">
        <f t="shared" si="1"/>
        <v>48.3</v>
      </c>
    </row>
    <row r="39" spans="1:16">
      <c r="A39" s="2" t="s">
        <v>76</v>
      </c>
      <c r="B39" s="2"/>
      <c r="C39" s="4">
        <v>43677</v>
      </c>
      <c r="D39" s="4"/>
      <c r="E39" s="4">
        <v>43713</v>
      </c>
      <c r="F39" s="5"/>
      <c r="G39" s="49"/>
      <c r="H39" s="5">
        <v>24.06</v>
      </c>
      <c r="I39" s="102">
        <f>80/30*35</f>
        <v>93.333333333333329</v>
      </c>
      <c r="J39" s="5">
        <v>40</v>
      </c>
      <c r="K39" s="5"/>
      <c r="L39" s="6">
        <v>149</v>
      </c>
      <c r="M39" s="61">
        <v>80</v>
      </c>
      <c r="N39" s="6">
        <f t="shared" si="1"/>
        <v>48.3</v>
      </c>
      <c r="O39" t="s">
        <v>79</v>
      </c>
    </row>
    <row r="40" spans="1:16">
      <c r="A40" s="10" t="s">
        <v>81</v>
      </c>
      <c r="B40" s="10"/>
      <c r="C40" s="11">
        <v>45444</v>
      </c>
      <c r="D40" s="11"/>
      <c r="E40" s="11">
        <v>45408</v>
      </c>
      <c r="F40" s="12"/>
      <c r="G40" s="12"/>
      <c r="H40" s="12"/>
      <c r="I40" s="106">
        <f>43/30*34</f>
        <v>48.733333333333334</v>
      </c>
      <c r="J40" s="12"/>
      <c r="K40" s="12"/>
      <c r="L40" s="12">
        <v>129</v>
      </c>
      <c r="M40" s="107">
        <v>61</v>
      </c>
      <c r="N40" s="12">
        <f t="shared" si="1"/>
        <v>47.599999999999994</v>
      </c>
    </row>
    <row r="41" spans="1:16">
      <c r="A41" s="22" t="s">
        <v>87</v>
      </c>
      <c r="B41" s="22"/>
      <c r="C41" s="35">
        <v>43878</v>
      </c>
      <c r="D41" s="35"/>
      <c r="E41" s="35">
        <v>43892</v>
      </c>
      <c r="F41" s="5"/>
      <c r="G41" s="49"/>
      <c r="H41" s="5">
        <v>12.19</v>
      </c>
      <c r="I41" s="102"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22" t="s">
        <v>89</v>
      </c>
      <c r="B42" s="22"/>
      <c r="C42" s="35">
        <v>43908</v>
      </c>
      <c r="D42" s="35"/>
      <c r="E42" s="35">
        <v>43893</v>
      </c>
      <c r="F42" s="5"/>
      <c r="G42" s="49"/>
      <c r="H42" s="5">
        <v>9.6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6">
      <c r="A43" s="22" t="s">
        <v>85</v>
      </c>
      <c r="B43" s="22"/>
      <c r="C43" s="35">
        <v>43881</v>
      </c>
      <c r="D43" s="35"/>
      <c r="E43" s="35">
        <v>43895</v>
      </c>
      <c r="F43" s="5"/>
      <c r="G43" s="49"/>
      <c r="H43" s="5">
        <v>9.14</v>
      </c>
      <c r="I43" s="102">
        <f>11/30*15</f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6">
      <c r="A44" s="39" t="s">
        <v>82</v>
      </c>
      <c r="B44" s="28"/>
      <c r="C44" s="36">
        <v>40235</v>
      </c>
      <c r="D44" s="36"/>
      <c r="E44" s="36">
        <v>43901</v>
      </c>
      <c r="F44" s="5"/>
      <c r="G44" s="34"/>
      <c r="H44" s="37">
        <v>9.6</v>
      </c>
      <c r="I44" s="102">
        <f>11/2</f>
        <v>5.5</v>
      </c>
      <c r="J44" s="5"/>
      <c r="K44" s="5"/>
      <c r="L44" s="17">
        <v>25</v>
      </c>
      <c r="M44" s="63">
        <v>11</v>
      </c>
      <c r="N44" s="26">
        <f t="shared" si="1"/>
        <v>9.7999999999999989</v>
      </c>
    </row>
    <row r="45" spans="1:16">
      <c r="A45" s="22" t="s">
        <v>80</v>
      </c>
      <c r="B45" s="22"/>
      <c r="C45" s="35">
        <v>43873</v>
      </c>
      <c r="D45" s="35"/>
      <c r="E45" s="35">
        <v>43910</v>
      </c>
      <c r="F45" s="5"/>
      <c r="G45" s="49"/>
      <c r="H45" s="5">
        <v>21.84</v>
      </c>
      <c r="I45" s="102">
        <f>56/30*38</f>
        <v>70.933333333333337</v>
      </c>
      <c r="J45" s="5"/>
      <c r="K45" s="5"/>
      <c r="L45" s="6">
        <v>120</v>
      </c>
      <c r="M45" s="61">
        <v>56</v>
      </c>
      <c r="N45" s="6">
        <f t="shared" si="1"/>
        <v>44.8</v>
      </c>
    </row>
    <row r="46" spans="1:16">
      <c r="A46" s="22" t="s">
        <v>88</v>
      </c>
      <c r="B46" s="22"/>
      <c r="C46" s="35">
        <v>43855</v>
      </c>
      <c r="D46" s="35"/>
      <c r="E46" s="35">
        <v>43941</v>
      </c>
      <c r="F46" s="5"/>
      <c r="G46" s="49"/>
      <c r="H46" s="5">
        <v>13.93</v>
      </c>
      <c r="I46" s="102">
        <f>56/30*85</f>
        <v>158.66666666666666</v>
      </c>
      <c r="J46" s="5"/>
      <c r="K46" s="5"/>
      <c r="L46" s="6">
        <v>110</v>
      </c>
      <c r="M46" s="61">
        <v>56</v>
      </c>
      <c r="N46" s="6">
        <f t="shared" si="1"/>
        <v>37.799999999999997</v>
      </c>
    </row>
    <row r="47" spans="1:16">
      <c r="A47" s="22" t="s">
        <v>90</v>
      </c>
      <c r="B47" s="22"/>
      <c r="C47" s="35" t="s">
        <v>96</v>
      </c>
      <c r="D47" s="35"/>
      <c r="E47" s="35">
        <v>44015</v>
      </c>
      <c r="F47" s="5" t="s">
        <v>160</v>
      </c>
      <c r="G47" s="49">
        <v>12.5</v>
      </c>
      <c r="H47" s="5">
        <v>11.29</v>
      </c>
      <c r="I47" s="102">
        <f>100</f>
        <v>100</v>
      </c>
      <c r="J47" s="5"/>
      <c r="K47" s="5"/>
      <c r="L47" s="6">
        <v>105</v>
      </c>
      <c r="M47" s="61">
        <f>25+11+22</f>
        <v>58</v>
      </c>
      <c r="N47" s="6">
        <f>12.5+(92.5-M47)*0.7</f>
        <v>36.65</v>
      </c>
      <c r="P47" s="41"/>
    </row>
    <row r="48" spans="1:16">
      <c r="A48" s="22" t="s">
        <v>97</v>
      </c>
      <c r="B48" s="22"/>
      <c r="C48" s="35">
        <v>43990</v>
      </c>
      <c r="D48" s="35"/>
      <c r="E48" s="35">
        <v>44036</v>
      </c>
      <c r="F48" s="5"/>
      <c r="G48" s="49"/>
      <c r="H48" s="5">
        <v>8.75</v>
      </c>
      <c r="I48" s="102">
        <f>56/30*46</f>
        <v>85.866666666666674</v>
      </c>
      <c r="J48" s="5"/>
      <c r="K48" s="5"/>
      <c r="L48" s="6">
        <v>110</v>
      </c>
      <c r="M48" s="61">
        <f>45+11</f>
        <v>56</v>
      </c>
      <c r="N48" s="6">
        <f>(L48-M48)*0.7</f>
        <v>37.799999999999997</v>
      </c>
    </row>
    <row r="49" spans="1:16">
      <c r="A49" s="22" t="s">
        <v>95</v>
      </c>
      <c r="B49" s="22"/>
      <c r="C49" s="35">
        <v>44028</v>
      </c>
      <c r="D49" s="35"/>
      <c r="E49" s="35">
        <v>44040</v>
      </c>
      <c r="F49" s="5"/>
      <c r="G49" s="49"/>
      <c r="H49" s="5">
        <v>8.75</v>
      </c>
      <c r="I49" s="102">
        <f>41/30*12</f>
        <v>16.399999999999999</v>
      </c>
      <c r="J49" s="5"/>
      <c r="K49" s="5"/>
      <c r="L49" s="6">
        <v>60</v>
      </c>
      <c r="M49" s="61">
        <v>41</v>
      </c>
      <c r="N49" s="6">
        <f>(L49-M49)*0.7</f>
        <v>13.299999999999999</v>
      </c>
    </row>
    <row r="50" spans="1:16">
      <c r="A50" s="22" t="s">
        <v>94</v>
      </c>
      <c r="B50" s="22"/>
      <c r="C50" s="35">
        <v>44011</v>
      </c>
      <c r="D50" s="35"/>
      <c r="E50" s="35">
        <v>44084</v>
      </c>
      <c r="F50" s="5"/>
      <c r="G50" s="49"/>
      <c r="H50" s="5">
        <v>11.29</v>
      </c>
      <c r="I50" s="102">
        <f>25/30*71</f>
        <v>59.166666666666671</v>
      </c>
      <c r="J50" s="5"/>
      <c r="K50" s="5"/>
      <c r="L50" s="6">
        <v>40</v>
      </c>
      <c r="M50" s="61">
        <v>25</v>
      </c>
      <c r="N50" s="6">
        <f>(L50-M50)*0.7</f>
        <v>10.5</v>
      </c>
    </row>
    <row r="51" spans="1:16">
      <c r="A51" s="2" t="s">
        <v>99</v>
      </c>
      <c r="B51" s="2"/>
      <c r="C51" s="35">
        <v>44084</v>
      </c>
      <c r="D51" s="35"/>
      <c r="E51" s="35">
        <v>44105</v>
      </c>
      <c r="F51" s="5" t="s">
        <v>160</v>
      </c>
      <c r="G51" s="49">
        <v>5</v>
      </c>
      <c r="H51" s="5">
        <v>12.24</v>
      </c>
      <c r="I51" s="102">
        <f>25/30*20</f>
        <v>16.666666666666668</v>
      </c>
      <c r="J51" s="5"/>
      <c r="K51" s="5"/>
      <c r="L51" s="43">
        <v>40</v>
      </c>
      <c r="M51" s="61">
        <v>22</v>
      </c>
      <c r="N51" s="6">
        <f>5+13*0.7</f>
        <v>14.1</v>
      </c>
      <c r="P51" s="41"/>
    </row>
    <row r="52" spans="1:16">
      <c r="A52" s="2" t="s">
        <v>102</v>
      </c>
      <c r="B52" s="2"/>
      <c r="C52" s="4" t="s">
        <v>103</v>
      </c>
      <c r="D52" s="4"/>
      <c r="E52" s="4">
        <v>44110</v>
      </c>
      <c r="F52" s="5" t="s">
        <v>160</v>
      </c>
      <c r="G52" s="49">
        <v>10</v>
      </c>
      <c r="H52" s="5">
        <v>36.65</v>
      </c>
      <c r="I52" s="102">
        <f>115/30*26</f>
        <v>99.666666666666671</v>
      </c>
      <c r="J52" s="5"/>
      <c r="K52" s="5"/>
      <c r="L52" s="6">
        <v>180</v>
      </c>
      <c r="M52" s="61">
        <v>115</v>
      </c>
      <c r="N52" s="6">
        <f>10+55*0.7</f>
        <v>48.5</v>
      </c>
      <c r="P52" s="41"/>
    </row>
    <row r="53" spans="1:16">
      <c r="A53" s="2" t="s">
        <v>94</v>
      </c>
      <c r="B53" s="2"/>
      <c r="C53" s="35">
        <v>44124</v>
      </c>
      <c r="D53" s="35"/>
      <c r="E53" s="35">
        <v>44124</v>
      </c>
      <c r="F53" s="5"/>
      <c r="G53" s="49"/>
      <c r="H53" s="5">
        <v>7.25</v>
      </c>
      <c r="I53" s="102">
        <v>0</v>
      </c>
      <c r="J53" s="5"/>
      <c r="K53" s="5"/>
      <c r="L53" s="6">
        <v>25</v>
      </c>
      <c r="M53" s="61">
        <v>11</v>
      </c>
      <c r="N53" s="6">
        <f>(L53-M53)*0.7</f>
        <v>9.7999999999999989</v>
      </c>
    </row>
    <row r="54" spans="1:16">
      <c r="A54" s="2" t="s">
        <v>100</v>
      </c>
      <c r="B54" s="2"/>
      <c r="C54" s="4">
        <v>44018</v>
      </c>
      <c r="D54" s="4"/>
      <c r="E54" s="4">
        <v>44124</v>
      </c>
      <c r="F54" s="40"/>
      <c r="G54" s="2"/>
      <c r="H54" s="5">
        <v>9.5</v>
      </c>
      <c r="I54" s="102">
        <f>25/30*104</f>
        <v>86.666666666666671</v>
      </c>
      <c r="J54" s="5"/>
      <c r="K54" s="5"/>
      <c r="L54" s="6">
        <v>70</v>
      </c>
      <c r="M54" s="61">
        <v>25</v>
      </c>
      <c r="N54" s="6">
        <f>(L54-M54)*0.7</f>
        <v>31.499999999999996</v>
      </c>
    </row>
    <row r="55" spans="1:16">
      <c r="A55" s="2" t="s">
        <v>101</v>
      </c>
      <c r="B55" s="2"/>
      <c r="C55" s="4">
        <v>44070</v>
      </c>
      <c r="D55" s="4"/>
      <c r="E55" s="4">
        <v>44131</v>
      </c>
      <c r="F55" s="40"/>
      <c r="G55" s="2"/>
      <c r="H55" s="5">
        <v>13.93</v>
      </c>
      <c r="I55" s="102">
        <f>71/30*60</f>
        <v>142</v>
      </c>
      <c r="J55" s="5"/>
      <c r="K55" s="5"/>
      <c r="L55" s="6">
        <v>120</v>
      </c>
      <c r="M55" s="61">
        <f>60+11</f>
        <v>71</v>
      </c>
      <c r="N55" s="6">
        <f>(L55-M55)*0.7</f>
        <v>34.299999999999997</v>
      </c>
    </row>
    <row r="56" spans="1:16">
      <c r="A56" s="22" t="s">
        <v>104</v>
      </c>
      <c r="B56" s="22"/>
      <c r="C56" s="4">
        <v>44159</v>
      </c>
      <c r="D56" s="4"/>
      <c r="E56" s="4">
        <v>44187</v>
      </c>
      <c r="F56" s="40"/>
      <c r="G56" s="2"/>
      <c r="H56" s="5">
        <v>13.93</v>
      </c>
      <c r="I56" s="102">
        <f>36/30*28</f>
        <v>33.6</v>
      </c>
      <c r="J56" s="5"/>
      <c r="K56" s="5"/>
      <c r="L56" s="6">
        <v>110</v>
      </c>
      <c r="M56" s="61">
        <f>25+11</f>
        <v>36</v>
      </c>
      <c r="N56" s="6">
        <f>(L56-M56)*0.7</f>
        <v>51.8</v>
      </c>
    </row>
    <row r="57" spans="1:16">
      <c r="A57" s="22" t="s">
        <v>120</v>
      </c>
      <c r="B57" s="22"/>
      <c r="C57" s="4">
        <v>44169</v>
      </c>
      <c r="D57" s="4"/>
      <c r="E57" s="4">
        <v>44208</v>
      </c>
      <c r="F57" s="5" t="s">
        <v>160</v>
      </c>
      <c r="G57" s="49">
        <v>10</v>
      </c>
      <c r="H57" s="5"/>
      <c r="I57" s="102">
        <f>41/30*38</f>
        <v>51.933333333333337</v>
      </c>
      <c r="J57" s="5"/>
      <c r="K57" s="5"/>
      <c r="L57" s="6">
        <v>70</v>
      </c>
      <c r="M57" s="61">
        <v>45</v>
      </c>
      <c r="N57" s="5">
        <f>10+(60-45)*0.7</f>
        <v>20.5</v>
      </c>
      <c r="O57" s="1" t="s">
        <v>145</v>
      </c>
    </row>
    <row r="58" spans="1:16">
      <c r="A58" s="22" t="s">
        <v>108</v>
      </c>
      <c r="B58" s="22"/>
      <c r="C58" s="4">
        <v>44185</v>
      </c>
      <c r="D58" s="4"/>
      <c r="E58" s="4">
        <v>44242</v>
      </c>
      <c r="F58" s="5" t="s">
        <v>160</v>
      </c>
      <c r="G58" s="49">
        <v>20</v>
      </c>
      <c r="H58" s="5">
        <v>26.48</v>
      </c>
      <c r="I58" s="102">
        <f>50/30*55</f>
        <v>91.666666666666671</v>
      </c>
      <c r="J58" s="5">
        <v>160</v>
      </c>
      <c r="K58" s="5"/>
      <c r="L58" s="6">
        <v>130</v>
      </c>
      <c r="M58" s="61">
        <v>34</v>
      </c>
      <c r="N58" s="5">
        <f>(20+(110-34)*0.7)</f>
        <v>73.199999999999989</v>
      </c>
      <c r="O58" s="1" t="s">
        <v>145</v>
      </c>
    </row>
    <row r="59" spans="1:16">
      <c r="A59" s="22" t="s">
        <v>109</v>
      </c>
      <c r="B59" s="22"/>
      <c r="C59" s="4">
        <v>44209</v>
      </c>
      <c r="D59" s="4"/>
      <c r="E59" s="4">
        <v>44250</v>
      </c>
      <c r="F59" s="5" t="s">
        <v>160</v>
      </c>
      <c r="G59" s="49">
        <v>22.5</v>
      </c>
      <c r="H59" s="5">
        <v>22.83</v>
      </c>
      <c r="I59" s="102">
        <f>100/30*40</f>
        <v>133.33333333333334</v>
      </c>
      <c r="J59" s="5">
        <v>125</v>
      </c>
      <c r="K59" s="5"/>
      <c r="L59" s="6">
        <v>210</v>
      </c>
      <c r="M59" s="61">
        <v>100</v>
      </c>
      <c r="N59" s="6">
        <f>(22.5+87.5*0.7)</f>
        <v>83.75</v>
      </c>
    </row>
    <row r="60" spans="1:16">
      <c r="A60" s="2" t="s">
        <v>113</v>
      </c>
      <c r="B60" s="2"/>
      <c r="C60" s="4">
        <v>44245</v>
      </c>
      <c r="D60" s="4"/>
      <c r="E60" s="4">
        <v>44271</v>
      </c>
      <c r="F60" s="5" t="s">
        <v>160</v>
      </c>
      <c r="G60" s="49">
        <v>15</v>
      </c>
      <c r="H60" s="5">
        <v>26.76</v>
      </c>
      <c r="I60" s="102">
        <f>67/30*28</f>
        <v>62.533333333333331</v>
      </c>
      <c r="J60" s="5"/>
      <c r="K60" s="5"/>
      <c r="L60" s="6">
        <v>140</v>
      </c>
      <c r="M60" s="61">
        <v>67</v>
      </c>
      <c r="N60" s="6">
        <f>(15+0.7*58)</f>
        <v>55.599999999999994</v>
      </c>
    </row>
    <row r="61" spans="1:16">
      <c r="A61" s="2" t="s">
        <v>112</v>
      </c>
      <c r="B61" s="2"/>
      <c r="C61" s="4">
        <v>44270</v>
      </c>
      <c r="D61" s="4"/>
      <c r="E61" s="4">
        <v>44286</v>
      </c>
      <c r="F61" s="5" t="s">
        <v>160</v>
      </c>
      <c r="G61" s="49">
        <v>17.5</v>
      </c>
      <c r="H61" s="5">
        <v>31.96</v>
      </c>
      <c r="I61" s="102">
        <f>55/30*16</f>
        <v>29.333333333333332</v>
      </c>
      <c r="J61" s="5">
        <v>75</v>
      </c>
      <c r="K61" s="5"/>
      <c r="L61" s="6">
        <v>100</v>
      </c>
      <c r="M61" s="61">
        <v>55</v>
      </c>
      <c r="N61" s="6">
        <f>(17.5+27.5*0.7)</f>
        <v>36.75</v>
      </c>
    </row>
    <row r="62" spans="1:16">
      <c r="A62" s="22" t="s">
        <v>121</v>
      </c>
      <c r="B62" s="22"/>
      <c r="C62" s="4">
        <v>44316</v>
      </c>
      <c r="D62" s="4"/>
      <c r="E62" s="4">
        <v>44354</v>
      </c>
      <c r="F62" s="40"/>
      <c r="G62" s="2"/>
      <c r="H62" s="5">
        <v>15.15</v>
      </c>
      <c r="I62" s="102">
        <f>36/30*37</f>
        <v>44.4</v>
      </c>
      <c r="J62" s="5"/>
      <c r="K62" s="5"/>
      <c r="L62" s="6">
        <v>110</v>
      </c>
      <c r="M62" s="61">
        <v>36</v>
      </c>
      <c r="N62" s="5">
        <f>(L62-M62)*0.7</f>
        <v>51.8</v>
      </c>
      <c r="O62" s="1" t="s">
        <v>145</v>
      </c>
    </row>
    <row r="63" spans="1:16">
      <c r="A63" s="22" t="s">
        <v>126</v>
      </c>
      <c r="B63" s="22"/>
      <c r="C63" s="4">
        <v>44336</v>
      </c>
      <c r="D63" s="4"/>
      <c r="E63" s="4">
        <v>44370</v>
      </c>
      <c r="F63" s="5" t="s">
        <v>161</v>
      </c>
      <c r="G63" s="49">
        <v>17.5</v>
      </c>
      <c r="H63" s="5">
        <v>35.78</v>
      </c>
      <c r="I63" s="102">
        <f>58/30*33</f>
        <v>63.8</v>
      </c>
      <c r="J63" s="5">
        <v>50</v>
      </c>
      <c r="K63" s="5"/>
      <c r="L63" s="6">
        <v>150</v>
      </c>
      <c r="M63" s="61">
        <v>58</v>
      </c>
      <c r="N63" s="6">
        <f>(17.5+74.5*0.7)</f>
        <v>69.650000000000006</v>
      </c>
    </row>
    <row r="64" spans="1:16">
      <c r="A64" s="44" t="s">
        <v>125</v>
      </c>
      <c r="B64" s="44"/>
      <c r="C64" s="4">
        <v>44342</v>
      </c>
      <c r="D64" s="4"/>
      <c r="E64" s="4">
        <v>44386</v>
      </c>
      <c r="F64" s="5" t="s">
        <v>160</v>
      </c>
      <c r="G64" s="49">
        <v>12.5</v>
      </c>
      <c r="H64" s="5">
        <v>15.46</v>
      </c>
      <c r="I64" s="102">
        <f>36/30*43</f>
        <v>51.6</v>
      </c>
      <c r="J64" s="5">
        <f>50+45</f>
        <v>95</v>
      </c>
      <c r="K64" s="5"/>
      <c r="L64" s="6">
        <v>80</v>
      </c>
      <c r="M64" s="61">
        <v>33</v>
      </c>
      <c r="N64" s="6">
        <f>12.5+(L64-M64-12.5)*0.7</f>
        <v>36.65</v>
      </c>
    </row>
    <row r="65" spans="1:16">
      <c r="A65" s="44" t="s">
        <v>129</v>
      </c>
      <c r="B65" s="44"/>
      <c r="C65" s="4">
        <v>44348</v>
      </c>
      <c r="D65" s="4"/>
      <c r="E65" s="4">
        <v>44389</v>
      </c>
      <c r="F65" s="5" t="s">
        <v>160</v>
      </c>
      <c r="G65" s="49">
        <v>12.5</v>
      </c>
      <c r="H65" s="5">
        <v>26.22</v>
      </c>
      <c r="I65" s="102">
        <f>71/30*42</f>
        <v>99.4</v>
      </c>
      <c r="J65" s="5">
        <f>50+45</f>
        <v>95</v>
      </c>
      <c r="K65" s="5"/>
      <c r="L65" s="6">
        <v>140</v>
      </c>
      <c r="M65" s="61">
        <v>71</v>
      </c>
      <c r="N65" s="6">
        <f>(12.5+(127.5-71)*0.7)</f>
        <v>52.05</v>
      </c>
    </row>
    <row r="66" spans="1:16">
      <c r="A66" s="44" t="s">
        <v>132</v>
      </c>
      <c r="B66" s="44"/>
      <c r="C66" s="4">
        <v>44407</v>
      </c>
      <c r="D66" s="4"/>
      <c r="E66" s="4">
        <v>44461</v>
      </c>
      <c r="F66" s="40"/>
      <c r="G66" s="2"/>
      <c r="H66" s="5">
        <v>9.8800000000000008</v>
      </c>
      <c r="I66" s="102">
        <f>25/30*52</f>
        <v>43.333333333333336</v>
      </c>
      <c r="J66" s="5"/>
      <c r="K66" s="5"/>
      <c r="L66" s="6">
        <v>40</v>
      </c>
      <c r="M66" s="61">
        <v>25</v>
      </c>
      <c r="N66" s="6">
        <f>(L66-M66)*0.7</f>
        <v>10.5</v>
      </c>
    </row>
    <row r="67" spans="1:16">
      <c r="A67" s="52" t="s">
        <v>141</v>
      </c>
      <c r="B67" s="52"/>
      <c r="C67" s="57">
        <v>44459</v>
      </c>
      <c r="D67" s="57"/>
      <c r="E67" s="57">
        <v>44481</v>
      </c>
      <c r="F67" s="10" t="s">
        <v>161</v>
      </c>
      <c r="G67" s="12">
        <v>10</v>
      </c>
      <c r="H67" s="25">
        <v>15.15</v>
      </c>
      <c r="I67" s="103">
        <f>46/30*22</f>
        <v>33.733333333333334</v>
      </c>
      <c r="J67" s="25">
        <v>80</v>
      </c>
      <c r="K67" s="25"/>
      <c r="L67" s="27">
        <v>120</v>
      </c>
      <c r="M67" s="64">
        <v>46</v>
      </c>
      <c r="N67" s="27">
        <f>10+(120-56)*0.7</f>
        <v>54.8</v>
      </c>
    </row>
    <row r="68" spans="1:16">
      <c r="A68" s="52" t="s">
        <v>140</v>
      </c>
      <c r="B68" s="52"/>
      <c r="C68" s="57">
        <v>44449</v>
      </c>
      <c r="D68" s="57"/>
      <c r="E68" s="57">
        <v>44482</v>
      </c>
      <c r="F68" s="25" t="s">
        <v>160</v>
      </c>
      <c r="G68" s="58">
        <v>10</v>
      </c>
      <c r="H68" s="25">
        <v>13.4</v>
      </c>
      <c r="I68" s="103">
        <f>60/30*33</f>
        <v>66</v>
      </c>
      <c r="J68" s="25">
        <v>80</v>
      </c>
      <c r="K68" s="25"/>
      <c r="L68" s="27">
        <v>120</v>
      </c>
      <c r="M68" s="64">
        <v>61</v>
      </c>
      <c r="N68" s="27">
        <f>(10+49*0.7)</f>
        <v>44.3</v>
      </c>
    </row>
    <row r="69" spans="1:16">
      <c r="A69" s="44" t="s">
        <v>137</v>
      </c>
      <c r="B69" s="44"/>
      <c r="C69" s="35">
        <v>44474</v>
      </c>
      <c r="D69" s="35"/>
      <c r="E69" s="35">
        <v>44487</v>
      </c>
      <c r="F69" s="10" t="s">
        <v>161</v>
      </c>
      <c r="G69" s="12">
        <v>12.5</v>
      </c>
      <c r="H69" s="5">
        <v>15.15</v>
      </c>
      <c r="I69" s="102">
        <f>71/30*13</f>
        <v>30.766666666666666</v>
      </c>
      <c r="J69" s="5">
        <v>95</v>
      </c>
      <c r="K69" s="5"/>
      <c r="L69" s="6">
        <v>140</v>
      </c>
      <c r="M69" s="61">
        <v>71</v>
      </c>
      <c r="N69" s="6">
        <f>12.5+(56.5)*0.7</f>
        <v>52.05</v>
      </c>
    </row>
    <row r="70" spans="1:16">
      <c r="A70" s="44" t="s">
        <v>143</v>
      </c>
      <c r="B70" s="44"/>
      <c r="C70" s="35">
        <v>43717</v>
      </c>
      <c r="D70" s="35"/>
      <c r="E70" s="35">
        <v>44505</v>
      </c>
      <c r="F70" s="40"/>
      <c r="G70" s="49"/>
      <c r="H70" s="5">
        <v>13.4</v>
      </c>
      <c r="I70" s="102">
        <f>36*25+36/30*26</f>
        <v>931.2</v>
      </c>
      <c r="J70" s="5"/>
      <c r="K70" s="5"/>
      <c r="L70" s="6">
        <v>100</v>
      </c>
      <c r="M70" s="61">
        <v>36</v>
      </c>
      <c r="N70" s="6">
        <f>(100-36)*0.7</f>
        <v>44.8</v>
      </c>
    </row>
    <row r="71" spans="1:16">
      <c r="A71" s="44" t="s">
        <v>139</v>
      </c>
      <c r="B71" s="44"/>
      <c r="C71" s="35">
        <v>44492</v>
      </c>
      <c r="D71" s="35"/>
      <c r="E71" s="35">
        <v>44539</v>
      </c>
      <c r="F71" s="40"/>
      <c r="G71" s="49"/>
      <c r="H71" s="5">
        <v>16.350000000000001</v>
      </c>
      <c r="I71" s="102">
        <f>71/30*46</f>
        <v>108.86666666666667</v>
      </c>
      <c r="J71" s="5">
        <v>95</v>
      </c>
      <c r="K71" s="5"/>
      <c r="L71" s="6">
        <v>140</v>
      </c>
      <c r="M71" s="61">
        <v>71</v>
      </c>
      <c r="N71" s="12">
        <f>(140-71)*0.7</f>
        <v>48.3</v>
      </c>
      <c r="O71" s="72" t="s">
        <v>329</v>
      </c>
      <c r="P71" s="72">
        <v>33.81</v>
      </c>
    </row>
    <row r="72" spans="1:16">
      <c r="A72" s="44" t="s">
        <v>144</v>
      </c>
      <c r="B72" s="44"/>
      <c r="C72" s="35">
        <v>44526</v>
      </c>
      <c r="D72" s="35"/>
      <c r="E72" s="35">
        <v>44550</v>
      </c>
      <c r="F72" s="5" t="s">
        <v>160</v>
      </c>
      <c r="G72" s="49">
        <v>12.5</v>
      </c>
      <c r="H72" s="5">
        <v>13.4</v>
      </c>
      <c r="I72" s="102">
        <f>83/30*24</f>
        <v>66.400000000000006</v>
      </c>
      <c r="J72" s="5"/>
      <c r="K72" s="5"/>
      <c r="L72" s="6">
        <v>140</v>
      </c>
      <c r="M72" s="61">
        <v>94</v>
      </c>
      <c r="N72" s="6">
        <f>12.5+(140-12.5-94)*0.7</f>
        <v>35.950000000000003</v>
      </c>
    </row>
    <row r="73" spans="1:16">
      <c r="A73" s="44" t="s">
        <v>149</v>
      </c>
      <c r="B73" s="44"/>
      <c r="C73" s="35">
        <v>44880</v>
      </c>
      <c r="D73" s="35"/>
      <c r="E73" s="35">
        <v>44575</v>
      </c>
      <c r="F73" s="40"/>
      <c r="G73" s="49"/>
      <c r="H73" s="5">
        <v>13.4</v>
      </c>
      <c r="I73" s="102"/>
      <c r="J73" s="5">
        <v>50</v>
      </c>
      <c r="K73" s="5"/>
      <c r="L73" s="6">
        <v>160</v>
      </c>
      <c r="M73" s="61">
        <f>71+9</f>
        <v>80</v>
      </c>
      <c r="N73" s="6">
        <f>(160-80)*0.7</f>
        <v>56</v>
      </c>
    </row>
    <row r="74" spans="1:16">
      <c r="A74" s="44" t="s">
        <v>146</v>
      </c>
      <c r="B74" s="44"/>
      <c r="C74" s="4">
        <v>44586</v>
      </c>
      <c r="D74" s="4"/>
      <c r="E74" s="4">
        <v>44615</v>
      </c>
      <c r="F74" s="10" t="s">
        <v>161</v>
      </c>
      <c r="G74" s="12">
        <v>12.5</v>
      </c>
      <c r="H74" s="5">
        <v>15.46</v>
      </c>
      <c r="I74" s="102">
        <f>27/30*28</f>
        <v>25.2</v>
      </c>
      <c r="J74" s="5">
        <v>110</v>
      </c>
      <c r="K74" s="5"/>
      <c r="L74" s="6">
        <v>154</v>
      </c>
      <c r="M74" s="61">
        <v>72</v>
      </c>
      <c r="N74" s="6">
        <f>12.5+(154-12.5-62)*0.7</f>
        <v>68.150000000000006</v>
      </c>
    </row>
    <row r="75" spans="1:16">
      <c r="A75" s="44" t="s">
        <v>148</v>
      </c>
      <c r="B75" s="44"/>
      <c r="C75" s="4">
        <v>44579</v>
      </c>
      <c r="D75" s="4"/>
      <c r="E75" s="4">
        <v>44594</v>
      </c>
      <c r="F75" s="40"/>
      <c r="G75" s="49"/>
      <c r="H75" s="5">
        <v>13.4</v>
      </c>
      <c r="I75" s="102">
        <f>22/30*14</f>
        <v>10.266666666666666</v>
      </c>
      <c r="J75" s="5">
        <v>30</v>
      </c>
      <c r="K75" s="5"/>
      <c r="L75" s="6">
        <v>50</v>
      </c>
      <c r="M75" s="61">
        <v>22</v>
      </c>
      <c r="N75" s="6">
        <f>(50-22)*0.7</f>
        <v>19.599999999999998</v>
      </c>
    </row>
    <row r="76" spans="1:16">
      <c r="A76" s="44" t="s">
        <v>150</v>
      </c>
      <c r="B76" s="44"/>
      <c r="C76" s="4">
        <v>44899</v>
      </c>
      <c r="D76" s="4"/>
      <c r="E76" s="4">
        <v>44607</v>
      </c>
      <c r="F76" s="12" t="s">
        <v>160</v>
      </c>
      <c r="G76" s="12">
        <v>12.5</v>
      </c>
      <c r="H76" s="5">
        <v>13.4</v>
      </c>
      <c r="I76" s="102">
        <f>71/30*61</f>
        <v>144.36666666666667</v>
      </c>
      <c r="J76" s="5">
        <v>80</v>
      </c>
      <c r="K76" s="5"/>
      <c r="L76" s="6">
        <v>120</v>
      </c>
      <c r="M76" s="61">
        <v>60</v>
      </c>
      <c r="N76" s="6">
        <f>12.5+(120-72.5)*0.7</f>
        <v>45.75</v>
      </c>
    </row>
    <row r="77" spans="1:16">
      <c r="A77" s="44" t="s">
        <v>151</v>
      </c>
      <c r="B77" s="44"/>
      <c r="C77" s="4">
        <v>44926</v>
      </c>
      <c r="D77" s="4"/>
      <c r="E77" s="4">
        <v>44649</v>
      </c>
      <c r="F77" s="40"/>
      <c r="G77" s="40"/>
      <c r="H77" s="5">
        <v>9.0299999999999994</v>
      </c>
      <c r="I77" s="102">
        <f>25*2+25/30*29</f>
        <v>74.166666666666671</v>
      </c>
      <c r="J77" s="5">
        <v>80</v>
      </c>
      <c r="K77" s="5"/>
      <c r="L77" s="6">
        <v>67.5</v>
      </c>
      <c r="M77" s="61">
        <v>25</v>
      </c>
      <c r="N77" s="6">
        <f>(67.5-25)*0.7</f>
        <v>29.749999999999996</v>
      </c>
    </row>
    <row r="78" spans="1:16">
      <c r="A78" s="44" t="s">
        <v>153</v>
      </c>
      <c r="B78" s="44"/>
      <c r="C78" s="4">
        <v>44623</v>
      </c>
      <c r="D78" s="4"/>
      <c r="E78" s="4">
        <v>44623</v>
      </c>
      <c r="F78" s="40"/>
      <c r="G78" s="40"/>
      <c r="H78" s="5">
        <v>11.03</v>
      </c>
      <c r="I78" s="102">
        <v>0</v>
      </c>
      <c r="J78" s="5">
        <v>15</v>
      </c>
      <c r="K78" s="5"/>
      <c r="L78" s="6">
        <v>30</v>
      </c>
      <c r="M78" s="61">
        <v>12</v>
      </c>
      <c r="N78" s="6">
        <f>(L78-M78)*0.7</f>
        <v>12.6</v>
      </c>
    </row>
    <row r="79" spans="1:16">
      <c r="A79" s="44" t="s">
        <v>154</v>
      </c>
      <c r="B79" s="44"/>
      <c r="C79" s="4">
        <v>44881</v>
      </c>
      <c r="D79" s="4"/>
      <c r="E79" s="4">
        <v>44628</v>
      </c>
      <c r="F79" s="40"/>
      <c r="G79" s="40"/>
      <c r="H79" s="5">
        <v>9.0299999999999994</v>
      </c>
      <c r="I79" s="102">
        <f>65*3+65/30*22</f>
        <v>242.66666666666666</v>
      </c>
      <c r="J79" s="5">
        <v>95</v>
      </c>
      <c r="K79" s="5"/>
      <c r="L79" s="6">
        <v>112</v>
      </c>
      <c r="M79" s="61">
        <v>65</v>
      </c>
      <c r="N79" s="6">
        <f>(L79-M79)*0.7</f>
        <v>32.9</v>
      </c>
    </row>
    <row r="80" spans="1:16">
      <c r="A80" s="44" t="s">
        <v>155</v>
      </c>
      <c r="B80" s="44"/>
      <c r="C80" s="4">
        <v>44490</v>
      </c>
      <c r="D80" s="4"/>
      <c r="E80" s="4">
        <v>44648</v>
      </c>
      <c r="F80" s="40"/>
      <c r="G80" s="40"/>
      <c r="H80" s="5">
        <v>13.4</v>
      </c>
      <c r="I80" s="102">
        <f>45*5+45/30*7</f>
        <v>235.5</v>
      </c>
      <c r="J80" s="5">
        <v>80</v>
      </c>
      <c r="K80" s="5"/>
      <c r="L80" s="6">
        <v>67.5</v>
      </c>
      <c r="M80" s="61">
        <v>45</v>
      </c>
      <c r="N80" s="6">
        <f>(L80-M80)*0.7</f>
        <v>15.749999999999998</v>
      </c>
    </row>
    <row r="81" spans="1:14">
      <c r="A81" s="44" t="s">
        <v>156</v>
      </c>
      <c r="B81" s="44"/>
      <c r="C81" s="4">
        <v>44489</v>
      </c>
      <c r="D81" s="4"/>
      <c r="E81" s="4">
        <v>44651</v>
      </c>
      <c r="F81" s="40"/>
      <c r="G81" s="40"/>
      <c r="H81" s="5">
        <v>15.46</v>
      </c>
      <c r="I81" s="102">
        <f>50*5+50/10</f>
        <v>255</v>
      </c>
      <c r="J81" s="5">
        <v>145</v>
      </c>
      <c r="K81" s="5"/>
      <c r="L81" s="6">
        <v>125</v>
      </c>
      <c r="M81" s="61">
        <v>50</v>
      </c>
      <c r="N81" s="6">
        <f>(L81-M81)*0.7</f>
        <v>52.5</v>
      </c>
    </row>
    <row r="82" spans="1:14">
      <c r="A82" s="44" t="s">
        <v>157</v>
      </c>
      <c r="B82" s="44"/>
      <c r="C82" s="4">
        <v>44627</v>
      </c>
      <c r="D82" s="4"/>
      <c r="E82" s="4">
        <v>44627</v>
      </c>
      <c r="F82" s="10" t="s">
        <v>161</v>
      </c>
      <c r="G82" s="12">
        <v>10</v>
      </c>
      <c r="H82" s="5">
        <v>15.46</v>
      </c>
      <c r="I82" s="102">
        <v>0</v>
      </c>
      <c r="J82" s="5">
        <v>0</v>
      </c>
      <c r="K82" s="5"/>
      <c r="L82" s="6">
        <v>100</v>
      </c>
      <c r="M82" s="61">
        <v>44</v>
      </c>
      <c r="N82" s="6">
        <f>10+(46)*0.7</f>
        <v>42.199999999999996</v>
      </c>
    </row>
    <row r="83" spans="1:14">
      <c r="A83" s="44" t="s">
        <v>158</v>
      </c>
      <c r="B83" s="44"/>
      <c r="C83" s="4">
        <v>44627</v>
      </c>
      <c r="D83" s="4"/>
      <c r="E83" s="4">
        <v>44627</v>
      </c>
      <c r="F83" s="10" t="s">
        <v>161</v>
      </c>
      <c r="G83" s="12">
        <v>12.5</v>
      </c>
      <c r="H83" s="5">
        <v>15.46</v>
      </c>
      <c r="I83" s="102">
        <v>0</v>
      </c>
      <c r="J83" s="5">
        <v>0</v>
      </c>
      <c r="K83" s="5"/>
      <c r="L83" s="6">
        <v>125</v>
      </c>
      <c r="M83" s="61">
        <v>55</v>
      </c>
      <c r="N83" s="6">
        <f>12.5+(57.5)*0.7</f>
        <v>52.75</v>
      </c>
    </row>
    <row r="84" spans="1:14">
      <c r="A84" s="44" t="s">
        <v>171</v>
      </c>
      <c r="B84" s="44"/>
      <c r="C84" s="4">
        <v>44648</v>
      </c>
      <c r="D84" s="4"/>
      <c r="E84" s="4">
        <v>44734</v>
      </c>
      <c r="F84" s="40"/>
      <c r="G84" s="5"/>
      <c r="H84" s="5">
        <v>13.72</v>
      </c>
      <c r="I84" s="102">
        <f>56/30*84</f>
        <v>156.80000000000001</v>
      </c>
      <c r="J84" s="5">
        <v>95</v>
      </c>
      <c r="K84" s="5"/>
      <c r="L84" s="6">
        <v>140</v>
      </c>
      <c r="M84" s="61">
        <v>56</v>
      </c>
      <c r="N84" s="6">
        <f>(140-56)*0.7</f>
        <v>58.8</v>
      </c>
    </row>
    <row r="85" spans="1:14">
      <c r="A85" s="44" t="s">
        <v>172</v>
      </c>
      <c r="B85" s="44"/>
      <c r="C85" s="4">
        <v>44705</v>
      </c>
      <c r="D85" s="4"/>
      <c r="E85" s="4">
        <v>44715</v>
      </c>
      <c r="F85" s="40"/>
      <c r="G85" s="5"/>
      <c r="H85" s="5">
        <v>10.039999999999999</v>
      </c>
      <c r="I85" s="102">
        <f>25/30*9</f>
        <v>7.5</v>
      </c>
      <c r="J85" s="5"/>
      <c r="K85" s="5"/>
      <c r="L85" s="6">
        <v>50</v>
      </c>
      <c r="M85" s="61">
        <v>25</v>
      </c>
      <c r="N85" s="6">
        <f>(50-25)*0.7</f>
        <v>17.5</v>
      </c>
    </row>
    <row r="86" spans="1:14">
      <c r="A86" s="44" t="s">
        <v>173</v>
      </c>
      <c r="B86" s="44"/>
      <c r="C86" s="4">
        <v>44704</v>
      </c>
      <c r="D86" s="4"/>
      <c r="E86" s="4">
        <v>44721</v>
      </c>
      <c r="F86" s="10" t="s">
        <v>161</v>
      </c>
      <c r="G86" s="56">
        <v>12.5</v>
      </c>
      <c r="H86" s="5">
        <v>13.72</v>
      </c>
      <c r="I86" s="102">
        <f>37/30*16</f>
        <v>19.733333333333334</v>
      </c>
      <c r="J86" s="5">
        <f>50+45</f>
        <v>95</v>
      </c>
      <c r="K86" s="5"/>
      <c r="L86" s="6">
        <v>110</v>
      </c>
      <c r="M86" s="61">
        <v>37</v>
      </c>
      <c r="N86" s="56">
        <f>12.5+(97.5-37)*0.7</f>
        <v>54.849999999999994</v>
      </c>
    </row>
    <row r="87" spans="1:14">
      <c r="A87" s="44" t="s">
        <v>174</v>
      </c>
      <c r="B87" s="44"/>
      <c r="C87" s="4">
        <v>44715</v>
      </c>
      <c r="D87" s="4"/>
      <c r="E87" s="4">
        <v>44820</v>
      </c>
      <c r="F87" s="10" t="s">
        <v>161</v>
      </c>
      <c r="G87" s="56">
        <v>15</v>
      </c>
      <c r="H87" s="5">
        <v>14.6</v>
      </c>
      <c r="I87" s="102">
        <f>56/30*103</f>
        <v>192.26666666666668</v>
      </c>
      <c r="J87" s="5">
        <v>50</v>
      </c>
      <c r="K87" s="5"/>
      <c r="L87" s="6">
        <f>130</f>
        <v>130</v>
      </c>
      <c r="M87" s="61">
        <v>56</v>
      </c>
      <c r="N87" s="56">
        <f>15+(115-56)*0.7</f>
        <v>56.3</v>
      </c>
    </row>
    <row r="88" spans="1:14">
      <c r="A88" s="44" t="s">
        <v>183</v>
      </c>
      <c r="B88" s="44"/>
      <c r="C88" s="4">
        <v>44749</v>
      </c>
      <c r="D88" s="4">
        <v>44830</v>
      </c>
      <c r="E88" s="4">
        <v>44858</v>
      </c>
      <c r="F88" s="40"/>
      <c r="G88" s="5"/>
      <c r="H88" s="5">
        <v>11.03</v>
      </c>
      <c r="I88" s="102">
        <v>25</v>
      </c>
      <c r="J88" s="5">
        <v>15</v>
      </c>
      <c r="K88" s="5"/>
      <c r="L88" s="6">
        <v>80</v>
      </c>
      <c r="M88" s="61">
        <v>25</v>
      </c>
      <c r="N88" s="6">
        <f>55*0.7</f>
        <v>38.5</v>
      </c>
    </row>
    <row r="89" spans="1:14">
      <c r="A89" s="44" t="s">
        <v>184</v>
      </c>
      <c r="B89" s="44"/>
      <c r="C89" s="4">
        <v>44775</v>
      </c>
      <c r="D89" s="4">
        <v>44810</v>
      </c>
      <c r="E89" s="4">
        <v>44848</v>
      </c>
      <c r="F89" s="40"/>
      <c r="G89" s="5"/>
      <c r="H89" s="5">
        <v>23.38</v>
      </c>
      <c r="I89" s="102">
        <f>100/30*38</f>
        <v>126.66666666666667</v>
      </c>
      <c r="J89" s="5">
        <v>155</v>
      </c>
      <c r="K89" s="5"/>
      <c r="L89" s="6">
        <v>220</v>
      </c>
      <c r="M89" s="61">
        <v>100</v>
      </c>
      <c r="N89" s="6">
        <v>90.75</v>
      </c>
    </row>
    <row r="90" spans="1:14">
      <c r="A90" s="44" t="s">
        <v>185</v>
      </c>
      <c r="B90" s="44"/>
      <c r="C90" s="4">
        <v>44830</v>
      </c>
      <c r="D90" s="4">
        <v>44852</v>
      </c>
      <c r="E90" s="4">
        <v>44858</v>
      </c>
      <c r="F90" s="10" t="s">
        <v>161</v>
      </c>
      <c r="G90" s="12">
        <v>15</v>
      </c>
      <c r="H90" s="5">
        <v>23.38</v>
      </c>
      <c r="I90" s="102">
        <f>54.5/30*6</f>
        <v>10.9</v>
      </c>
      <c r="J90" s="5">
        <v>95</v>
      </c>
      <c r="K90" s="5"/>
      <c r="L90" s="6">
        <v>160</v>
      </c>
      <c r="M90" s="61">
        <v>64.5</v>
      </c>
      <c r="N90" s="6">
        <f>15+(145-64.5)*0.7</f>
        <v>71.349999999999994</v>
      </c>
    </row>
    <row r="91" spans="1:14">
      <c r="A91" s="44" t="s">
        <v>190</v>
      </c>
      <c r="B91" s="44"/>
      <c r="C91" s="4"/>
      <c r="D91" s="4">
        <v>44879</v>
      </c>
      <c r="E91" s="35">
        <v>44887</v>
      </c>
      <c r="F91" s="44" t="s">
        <v>161</v>
      </c>
      <c r="G91" s="56">
        <v>10</v>
      </c>
      <c r="H91" s="5">
        <v>14.6</v>
      </c>
      <c r="I91" s="102">
        <f>34/30*8</f>
        <v>9.0666666666666664</v>
      </c>
      <c r="J91" s="5">
        <v>45</v>
      </c>
      <c r="K91" s="5"/>
      <c r="L91" s="6">
        <v>90</v>
      </c>
      <c r="M91" s="61">
        <v>34</v>
      </c>
      <c r="N91" s="56">
        <f>10+(80-34)*0.7</f>
        <v>42.199999999999996</v>
      </c>
    </row>
    <row r="92" spans="1:14">
      <c r="A92" s="44" t="s">
        <v>193</v>
      </c>
      <c r="B92" s="44"/>
      <c r="C92" s="4">
        <v>44872</v>
      </c>
      <c r="D92" s="4">
        <v>44879</v>
      </c>
      <c r="E92" s="35">
        <v>44882</v>
      </c>
      <c r="F92" s="40"/>
      <c r="G92" s="5"/>
      <c r="H92" s="5">
        <v>10.039999999999999</v>
      </c>
      <c r="I92" s="102">
        <f>25/30*3</f>
        <v>2.5</v>
      </c>
      <c r="J92" s="5"/>
      <c r="K92" s="5"/>
      <c r="L92" s="6">
        <v>40</v>
      </c>
      <c r="M92" s="61">
        <v>25</v>
      </c>
      <c r="N92" s="6">
        <f>(L92-M92)*0.7</f>
        <v>10.5</v>
      </c>
    </row>
    <row r="93" spans="1:14">
      <c r="A93" s="44" t="s">
        <v>213</v>
      </c>
      <c r="B93" s="44"/>
      <c r="C93" s="4">
        <v>44894</v>
      </c>
      <c r="D93" s="4">
        <v>44908</v>
      </c>
      <c r="E93" s="35">
        <v>44944</v>
      </c>
      <c r="F93" s="40" t="s">
        <v>161</v>
      </c>
      <c r="G93" s="5">
        <v>15</v>
      </c>
      <c r="H93" s="5">
        <v>31.72</v>
      </c>
      <c r="I93" s="102">
        <f>50/30*35</f>
        <v>58.333333333333336</v>
      </c>
      <c r="J93" s="5">
        <f>60+50</f>
        <v>110</v>
      </c>
      <c r="K93" s="5"/>
      <c r="L93" s="6">
        <v>130</v>
      </c>
      <c r="M93" s="61">
        <f>19+2+3.5*2+11*2</f>
        <v>50</v>
      </c>
      <c r="N93" s="94">
        <f>15+(L93-M93-15)*0.7</f>
        <v>60.5</v>
      </c>
    </row>
    <row r="94" spans="1:14">
      <c r="A94" s="44" t="s">
        <v>227</v>
      </c>
      <c r="B94" s="44"/>
      <c r="C94" s="4">
        <v>44949</v>
      </c>
      <c r="D94" s="4">
        <v>44953</v>
      </c>
      <c r="E94" s="35">
        <v>44966</v>
      </c>
      <c r="F94" s="40" t="s">
        <v>160</v>
      </c>
      <c r="G94" s="5">
        <v>15</v>
      </c>
      <c r="H94" s="5">
        <v>16.38</v>
      </c>
      <c r="I94" s="102">
        <f>61.5/30*12</f>
        <v>24.599999999999998</v>
      </c>
      <c r="J94" s="5">
        <f>50+60</f>
        <v>110</v>
      </c>
      <c r="K94" s="5"/>
      <c r="L94" s="6">
        <v>160</v>
      </c>
      <c r="M94" s="65">
        <f>32.5+7+22</f>
        <v>61.5</v>
      </c>
      <c r="N94" s="59">
        <f>15+(L94-M94-15)*0.7</f>
        <v>73.449999999999989</v>
      </c>
    </row>
    <row r="95" spans="1:14">
      <c r="A95" s="44" t="s">
        <v>228</v>
      </c>
      <c r="B95" s="44"/>
      <c r="C95" s="4">
        <v>44957</v>
      </c>
      <c r="D95" s="4">
        <v>44957</v>
      </c>
      <c r="E95" s="35">
        <v>44977</v>
      </c>
      <c r="F95" s="40"/>
      <c r="G95" s="5"/>
      <c r="H95" s="5">
        <v>20.61</v>
      </c>
      <c r="I95" s="102">
        <f>66/30*20</f>
        <v>44</v>
      </c>
      <c r="J95" s="5">
        <v>90</v>
      </c>
      <c r="K95" s="5"/>
      <c r="L95" s="6">
        <v>155</v>
      </c>
      <c r="M95" s="65">
        <v>54</v>
      </c>
      <c r="N95" s="59">
        <f>(L95-M95)*0.7</f>
        <v>70.699999999999989</v>
      </c>
    </row>
    <row r="96" spans="1:14">
      <c r="A96" s="44" t="s">
        <v>255</v>
      </c>
      <c r="B96" s="44"/>
      <c r="C96" s="35">
        <v>44691</v>
      </c>
      <c r="D96" s="35">
        <v>44994</v>
      </c>
      <c r="E96" s="4">
        <v>44994</v>
      </c>
      <c r="F96" s="40"/>
      <c r="G96" s="40"/>
      <c r="H96" s="5">
        <v>11.03</v>
      </c>
      <c r="I96" s="102">
        <f>25*14</f>
        <v>350</v>
      </c>
      <c r="J96" s="40">
        <f>30+50</f>
        <v>80</v>
      </c>
      <c r="K96" s="40"/>
      <c r="L96" s="6">
        <v>90</v>
      </c>
      <c r="M96" s="6">
        <v>25</v>
      </c>
      <c r="N96" s="59">
        <v>48.5</v>
      </c>
    </row>
    <row r="97" spans="1:16">
      <c r="A97" s="44" t="s">
        <v>187</v>
      </c>
      <c r="B97" s="44"/>
      <c r="C97" s="35"/>
      <c r="D97" s="35">
        <v>44991</v>
      </c>
      <c r="E97" s="4">
        <v>44991</v>
      </c>
      <c r="F97" s="40"/>
      <c r="G97" s="40"/>
      <c r="H97" s="5">
        <v>13.31</v>
      </c>
      <c r="I97" s="102"/>
      <c r="J97" s="40">
        <v>45</v>
      </c>
      <c r="K97" s="40"/>
      <c r="L97" s="6">
        <v>80</v>
      </c>
      <c r="M97" s="6">
        <v>27</v>
      </c>
      <c r="N97" s="59">
        <f>(L97-M97)*0.7</f>
        <v>37.099999999999994</v>
      </c>
    </row>
    <row r="98" spans="1:16">
      <c r="A98" s="76" t="s">
        <v>276</v>
      </c>
      <c r="B98" s="44"/>
      <c r="C98" s="35">
        <v>45061</v>
      </c>
      <c r="D98" s="35">
        <v>45070</v>
      </c>
      <c r="E98" s="4"/>
      <c r="F98" s="40"/>
      <c r="G98" s="40"/>
      <c r="H98" s="5">
        <v>11.48</v>
      </c>
      <c r="I98" s="102">
        <f>21/30*9</f>
        <v>6.3</v>
      </c>
      <c r="J98" s="40"/>
      <c r="K98" s="40"/>
      <c r="L98" s="17">
        <f>50</f>
        <v>50</v>
      </c>
      <c r="M98" s="18">
        <v>21</v>
      </c>
      <c r="N98" s="70">
        <f>(50-21)*0.7</f>
        <v>20.299999999999997</v>
      </c>
    </row>
    <row r="99" spans="1:16">
      <c r="A99" s="76" t="s">
        <v>279</v>
      </c>
      <c r="B99" s="44"/>
      <c r="C99" s="35">
        <v>45065</v>
      </c>
      <c r="D99" s="35">
        <v>45070</v>
      </c>
      <c r="E99" s="4"/>
      <c r="F99" s="40"/>
      <c r="G99" s="40"/>
      <c r="H99" s="5">
        <v>11.48</v>
      </c>
      <c r="I99" s="102">
        <f>21/30*5</f>
        <v>3.5</v>
      </c>
      <c r="J99" s="40"/>
      <c r="K99" s="40"/>
      <c r="L99" s="17">
        <f>50</f>
        <v>50</v>
      </c>
      <c r="M99" s="18">
        <v>21</v>
      </c>
      <c r="N99" s="70">
        <f>(50-21)*0.7</f>
        <v>20.299999999999997</v>
      </c>
    </row>
    <row r="100" spans="1:16">
      <c r="A100" s="76" t="s">
        <v>278</v>
      </c>
      <c r="B100" s="52"/>
      <c r="C100" s="57">
        <v>44973</v>
      </c>
      <c r="D100" s="57">
        <v>45070</v>
      </c>
      <c r="E100" s="24"/>
      <c r="F100" s="48"/>
      <c r="G100" s="48"/>
      <c r="H100" s="25">
        <v>11.48</v>
      </c>
      <c r="I100" s="103">
        <f>21/30*98</f>
        <v>68.599999999999994</v>
      </c>
      <c r="J100" s="48"/>
      <c r="K100" s="48"/>
      <c r="L100" s="17">
        <v>50</v>
      </c>
      <c r="M100" s="26">
        <v>21</v>
      </c>
      <c r="N100" s="85">
        <f>(50-21)*0.7</f>
        <v>20.299999999999997</v>
      </c>
    </row>
    <row r="101" spans="1:16">
      <c r="A101" s="44" t="s">
        <v>289</v>
      </c>
      <c r="B101" s="44"/>
      <c r="C101" s="35">
        <v>45110</v>
      </c>
      <c r="D101" s="35">
        <v>45127</v>
      </c>
      <c r="E101" s="4">
        <v>45110</v>
      </c>
      <c r="F101" s="40"/>
      <c r="G101" s="40"/>
      <c r="H101" s="5">
        <v>13.31</v>
      </c>
      <c r="I101" s="102">
        <f>27/30*17</f>
        <v>15.3</v>
      </c>
      <c r="J101" s="40">
        <v>45</v>
      </c>
      <c r="K101" s="40"/>
      <c r="L101" s="6">
        <v>75</v>
      </c>
      <c r="M101" s="6">
        <v>27</v>
      </c>
      <c r="N101" s="59">
        <f>(L101-M101)*0.7</f>
        <v>33.599999999999994</v>
      </c>
    </row>
    <row r="102" spans="1:16">
      <c r="A102" s="44" t="s">
        <v>292</v>
      </c>
      <c r="B102" s="44"/>
      <c r="C102" s="35">
        <v>45138</v>
      </c>
      <c r="D102" s="35">
        <v>45139</v>
      </c>
      <c r="E102" s="35">
        <v>45162</v>
      </c>
      <c r="F102" s="40"/>
      <c r="G102" s="40"/>
      <c r="H102" s="5">
        <v>12.48</v>
      </c>
      <c r="I102" s="102">
        <f>27/30*23</f>
        <v>20.7</v>
      </c>
      <c r="J102" s="40">
        <v>45</v>
      </c>
      <c r="K102" s="40"/>
      <c r="L102" s="6">
        <v>90</v>
      </c>
      <c r="M102" s="6">
        <v>27</v>
      </c>
      <c r="N102" s="59">
        <f>(L102-M102)*0.7</f>
        <v>44.099999999999994</v>
      </c>
    </row>
    <row r="103" spans="1:16">
      <c r="A103" s="44" t="s">
        <v>293</v>
      </c>
      <c r="B103" s="44"/>
      <c r="C103" s="35">
        <v>45086</v>
      </c>
      <c r="D103" s="35">
        <v>45089</v>
      </c>
      <c r="E103" s="4">
        <v>45103</v>
      </c>
      <c r="F103" s="40"/>
      <c r="G103" s="40"/>
      <c r="H103" s="5">
        <v>11.03</v>
      </c>
      <c r="I103" s="102">
        <f>21/30*14</f>
        <v>9.7999999999999989</v>
      </c>
      <c r="J103" s="40"/>
      <c r="K103" s="40"/>
      <c r="L103" s="6">
        <v>50</v>
      </c>
      <c r="M103" s="6">
        <v>21</v>
      </c>
      <c r="N103" s="59">
        <f>(L103-M103)*0.7</f>
        <v>20.299999999999997</v>
      </c>
    </row>
    <row r="104" spans="1:16">
      <c r="A104" s="44" t="s">
        <v>295</v>
      </c>
      <c r="B104" s="44"/>
      <c r="C104" s="35">
        <v>45228</v>
      </c>
      <c r="D104" s="35">
        <v>45203</v>
      </c>
      <c r="E104" s="4"/>
      <c r="F104" s="40"/>
      <c r="G104" s="40"/>
      <c r="H104" s="5">
        <v>13.31</v>
      </c>
      <c r="I104" s="102">
        <f>27/30*5</f>
        <v>4.5</v>
      </c>
      <c r="J104" s="40">
        <v>45</v>
      </c>
      <c r="K104" s="40"/>
      <c r="L104" s="6">
        <v>80</v>
      </c>
      <c r="M104" s="6">
        <v>27</v>
      </c>
      <c r="N104" s="59">
        <f>(L104-M104)*0.7</f>
        <v>37.099999999999994</v>
      </c>
    </row>
    <row r="105" spans="1:16">
      <c r="A105" s="44" t="s">
        <v>320</v>
      </c>
      <c r="B105" s="44"/>
      <c r="C105" s="35">
        <v>45177</v>
      </c>
      <c r="D105" s="35">
        <v>45196</v>
      </c>
      <c r="E105" s="4"/>
      <c r="F105" s="40"/>
      <c r="G105" s="40"/>
      <c r="H105" s="5">
        <v>10.44</v>
      </c>
      <c r="I105" s="102">
        <f>38/30*21</f>
        <v>26.599999999999998</v>
      </c>
      <c r="J105" s="40"/>
      <c r="K105" s="40"/>
      <c r="L105" s="6">
        <v>69</v>
      </c>
      <c r="M105" s="6">
        <v>38</v>
      </c>
      <c r="N105" s="59">
        <f>(69-38)*0.7</f>
        <v>21.7</v>
      </c>
    </row>
    <row r="106" spans="1:16">
      <c r="A106" s="44" t="s">
        <v>325</v>
      </c>
      <c r="B106" s="44"/>
      <c r="C106" s="35"/>
      <c r="D106" s="35">
        <v>45223</v>
      </c>
      <c r="E106" s="4">
        <v>45239</v>
      </c>
      <c r="F106" s="40"/>
      <c r="G106" s="40"/>
      <c r="H106" s="5">
        <v>40</v>
      </c>
      <c r="I106" s="102">
        <f>43/30*15</f>
        <v>21.5</v>
      </c>
      <c r="J106" s="40"/>
      <c r="K106" s="40"/>
      <c r="L106" s="6">
        <v>69</v>
      </c>
      <c r="M106" s="6">
        <v>43</v>
      </c>
      <c r="N106" s="94">
        <f>(69-43)*0.7</f>
        <v>18.2</v>
      </c>
      <c r="O106" s="72" t="s">
        <v>329</v>
      </c>
      <c r="P106" s="72">
        <v>12.74</v>
      </c>
    </row>
    <row r="107" spans="1:16">
      <c r="A107" s="44" t="s">
        <v>326</v>
      </c>
      <c r="B107" s="44"/>
      <c r="C107" s="35"/>
      <c r="D107" s="35">
        <v>45188</v>
      </c>
      <c r="E107" s="4">
        <v>45209</v>
      </c>
      <c r="F107" s="40"/>
      <c r="G107" s="40"/>
      <c r="H107" s="5">
        <v>11.48</v>
      </c>
      <c r="I107" s="102"/>
      <c r="J107" s="40"/>
      <c r="K107" s="40"/>
      <c r="L107" s="6">
        <v>59</v>
      </c>
      <c r="M107" s="6">
        <v>38</v>
      </c>
      <c r="N107" s="59">
        <f>(L107-M107)*0.7</f>
        <v>14.7</v>
      </c>
    </row>
    <row r="108" spans="1:16">
      <c r="A108" s="44" t="s">
        <v>108</v>
      </c>
      <c r="B108" s="44"/>
      <c r="C108" s="35"/>
      <c r="D108" s="35">
        <v>45231</v>
      </c>
      <c r="E108" s="4">
        <v>45231</v>
      </c>
      <c r="F108" s="40"/>
      <c r="G108" s="40"/>
      <c r="H108" s="5"/>
      <c r="I108" s="102"/>
      <c r="J108" s="40"/>
      <c r="K108" s="40"/>
      <c r="L108" s="6">
        <v>69</v>
      </c>
      <c r="M108" s="6">
        <v>43</v>
      </c>
      <c r="N108" s="59">
        <f>(L108-M108)*0.7</f>
        <v>18.2</v>
      </c>
    </row>
    <row r="109" spans="1:16">
      <c r="A109" s="44" t="s">
        <v>327</v>
      </c>
      <c r="B109" s="44"/>
      <c r="C109" s="35"/>
      <c r="D109" s="35"/>
      <c r="E109" s="4">
        <v>45127</v>
      </c>
      <c r="F109" s="40"/>
      <c r="G109" s="40"/>
      <c r="H109" s="5">
        <v>11.48</v>
      </c>
      <c r="I109" s="102"/>
      <c r="J109" s="40"/>
      <c r="K109" s="40"/>
      <c r="L109" s="6">
        <v>25</v>
      </c>
      <c r="M109" s="6">
        <v>9</v>
      </c>
      <c r="N109" s="59">
        <f>(L109-M109)*0.7</f>
        <v>11.2</v>
      </c>
    </row>
    <row r="110" spans="1:16">
      <c r="A110" s="44" t="s">
        <v>336</v>
      </c>
      <c r="B110" s="44"/>
      <c r="C110" s="35"/>
      <c r="D110" s="35">
        <v>45278</v>
      </c>
      <c r="E110" s="4">
        <v>45278</v>
      </c>
      <c r="F110" s="40"/>
      <c r="G110" s="40"/>
      <c r="H110" s="5"/>
      <c r="I110" s="102"/>
      <c r="J110" s="40"/>
      <c r="K110" s="40"/>
      <c r="L110" s="6">
        <v>69</v>
      </c>
      <c r="M110" s="6">
        <v>43</v>
      </c>
      <c r="N110" s="59">
        <f>(69-43)*0.7/30*42</f>
        <v>25.48</v>
      </c>
    </row>
    <row r="111" spans="1:16">
      <c r="A111" s="44" t="s">
        <v>337</v>
      </c>
      <c r="B111" s="44"/>
      <c r="C111" s="35">
        <v>45342</v>
      </c>
      <c r="D111" s="35">
        <v>44977</v>
      </c>
      <c r="E111" s="4">
        <v>45342</v>
      </c>
      <c r="F111" s="40"/>
      <c r="G111" s="40"/>
      <c r="H111" s="5">
        <v>13.78</v>
      </c>
      <c r="I111" s="102"/>
      <c r="J111" s="40">
        <f>45+50</f>
        <v>95</v>
      </c>
      <c r="K111" s="40"/>
      <c r="L111" s="6">
        <v>100</v>
      </c>
      <c r="M111" s="6">
        <v>38.5</v>
      </c>
      <c r="N111" s="59">
        <f t="shared" ref="N111:N126" si="2">(L111-M111)*0.7</f>
        <v>43.05</v>
      </c>
    </row>
    <row r="112" spans="1:16">
      <c r="A112" s="44" t="s">
        <v>338</v>
      </c>
      <c r="B112" s="44"/>
      <c r="C112" s="35">
        <v>45271</v>
      </c>
      <c r="D112" s="35"/>
      <c r="E112" s="4">
        <v>45301</v>
      </c>
      <c r="F112" s="40"/>
      <c r="G112" s="40"/>
      <c r="H112" s="5">
        <v>14.26</v>
      </c>
      <c r="I112" s="102">
        <f>25/30*29</f>
        <v>24.166666666666668</v>
      </c>
      <c r="J112" s="40">
        <f>30+50</f>
        <v>80</v>
      </c>
      <c r="K112" s="40"/>
      <c r="L112" s="6">
        <v>80</v>
      </c>
      <c r="M112" s="6">
        <v>29</v>
      </c>
      <c r="N112" s="59">
        <f t="shared" si="2"/>
        <v>35.699999999999996</v>
      </c>
      <c r="O112" t="s">
        <v>339</v>
      </c>
    </row>
    <row r="113" spans="1:14">
      <c r="A113" s="44" t="s">
        <v>333</v>
      </c>
      <c r="B113" s="44"/>
      <c r="C113" s="35"/>
      <c r="D113" s="35"/>
      <c r="E113" s="4">
        <v>45336</v>
      </c>
      <c r="F113" s="40"/>
      <c r="G113" s="40"/>
      <c r="H113" s="5">
        <v>10</v>
      </c>
      <c r="I113" s="102">
        <v>0</v>
      </c>
      <c r="J113" s="40">
        <v>120</v>
      </c>
      <c r="K113" s="40"/>
      <c r="L113" s="6">
        <v>160</v>
      </c>
      <c r="M113" s="6">
        <v>72</v>
      </c>
      <c r="N113" s="59">
        <f t="shared" si="2"/>
        <v>61.599999999999994</v>
      </c>
    </row>
    <row r="114" spans="1:14">
      <c r="A114" s="44" t="s">
        <v>343</v>
      </c>
      <c r="B114" s="44"/>
      <c r="C114" s="35"/>
      <c r="D114" s="35"/>
      <c r="E114" s="4">
        <v>45336</v>
      </c>
      <c r="F114" s="40"/>
      <c r="G114" s="40"/>
      <c r="H114" s="5">
        <v>10.92</v>
      </c>
      <c r="I114" s="102"/>
      <c r="J114" s="40"/>
      <c r="K114" s="40"/>
      <c r="L114" s="6">
        <v>59</v>
      </c>
      <c r="M114" s="6">
        <v>38</v>
      </c>
      <c r="N114" s="59">
        <f t="shared" si="2"/>
        <v>14.7</v>
      </c>
    </row>
    <row r="115" spans="1:14">
      <c r="A115" s="44" t="s">
        <v>381</v>
      </c>
      <c r="B115" s="44"/>
      <c r="C115" s="35"/>
      <c r="D115" s="35">
        <v>45323</v>
      </c>
      <c r="E115" s="4">
        <v>45323</v>
      </c>
      <c r="F115" s="40"/>
      <c r="G115" s="40"/>
      <c r="H115" s="5">
        <v>10.92</v>
      </c>
      <c r="I115" s="102"/>
      <c r="J115" s="40"/>
      <c r="K115" s="40"/>
      <c r="L115" s="6">
        <v>59</v>
      </c>
      <c r="M115" s="6">
        <v>38</v>
      </c>
      <c r="N115" s="59">
        <f t="shared" si="2"/>
        <v>14.7</v>
      </c>
    </row>
    <row r="116" spans="1:14">
      <c r="A116" s="44" t="s">
        <v>345</v>
      </c>
      <c r="B116" s="44"/>
      <c r="C116" s="35"/>
      <c r="D116" s="35"/>
      <c r="E116" s="4">
        <v>45345</v>
      </c>
      <c r="F116" s="40"/>
      <c r="G116" s="40"/>
      <c r="H116" s="5">
        <v>24.2</v>
      </c>
      <c r="I116" s="102"/>
      <c r="J116" s="40">
        <v>45</v>
      </c>
      <c r="K116" s="40"/>
      <c r="L116" s="6">
        <v>90</v>
      </c>
      <c r="M116" s="6">
        <f>7+9</f>
        <v>16</v>
      </c>
      <c r="N116" s="59">
        <f t="shared" si="2"/>
        <v>51.8</v>
      </c>
    </row>
    <row r="117" spans="1:14">
      <c r="A117" s="44" t="s">
        <v>346</v>
      </c>
      <c r="B117" s="44"/>
      <c r="C117" s="35"/>
      <c r="D117" s="35"/>
      <c r="E117" s="4">
        <v>45334</v>
      </c>
      <c r="F117" s="40"/>
      <c r="G117" s="40"/>
      <c r="H117" s="5">
        <v>12.01</v>
      </c>
      <c r="I117" s="102"/>
      <c r="J117" s="40">
        <v>15</v>
      </c>
      <c r="K117" s="40"/>
      <c r="L117" s="6">
        <v>20</v>
      </c>
      <c r="M117" s="6">
        <v>9</v>
      </c>
      <c r="N117" s="70">
        <f t="shared" si="2"/>
        <v>7.6999999999999993</v>
      </c>
    </row>
    <row r="118" spans="1:14">
      <c r="A118" s="44" t="s">
        <v>361</v>
      </c>
      <c r="B118" s="44"/>
      <c r="C118" s="35"/>
      <c r="D118" s="35">
        <v>45366</v>
      </c>
      <c r="E118" s="4">
        <v>45385</v>
      </c>
      <c r="F118" s="40"/>
      <c r="G118" s="40"/>
      <c r="H118" s="5"/>
      <c r="I118" s="102">
        <f>69/30*18</f>
        <v>41.4</v>
      </c>
      <c r="J118" s="40"/>
      <c r="K118" s="40"/>
      <c r="L118" s="6">
        <v>69</v>
      </c>
      <c r="M118" s="6">
        <v>43</v>
      </c>
      <c r="N118" s="70">
        <f t="shared" si="2"/>
        <v>18.2</v>
      </c>
    </row>
    <row r="119" spans="1:14">
      <c r="A119" s="44" t="s">
        <v>365</v>
      </c>
      <c r="B119" s="44"/>
      <c r="C119" s="35"/>
      <c r="D119" s="35">
        <v>45450</v>
      </c>
      <c r="E119" s="4">
        <v>45456</v>
      </c>
      <c r="F119" s="40"/>
      <c r="G119" s="40"/>
      <c r="H119" s="5"/>
      <c r="I119" s="102">
        <f>47/30*5</f>
        <v>7.833333333333333</v>
      </c>
      <c r="J119" s="40"/>
      <c r="K119" s="40"/>
      <c r="L119" s="6">
        <v>69</v>
      </c>
      <c r="M119" s="6">
        <v>47</v>
      </c>
      <c r="N119" s="59">
        <f t="shared" si="2"/>
        <v>15.399999999999999</v>
      </c>
    </row>
    <row r="120" spans="1:14">
      <c r="A120" s="44" t="s">
        <v>358</v>
      </c>
      <c r="B120" s="44"/>
      <c r="C120" s="35"/>
      <c r="D120" s="35">
        <v>45468</v>
      </c>
      <c r="E120" s="4">
        <v>45468</v>
      </c>
      <c r="F120" s="40"/>
      <c r="G120" s="40"/>
      <c r="H120" s="5">
        <v>12.01</v>
      </c>
      <c r="I120" s="102"/>
      <c r="J120" s="40"/>
      <c r="K120" s="40"/>
      <c r="L120" s="6">
        <v>59</v>
      </c>
      <c r="M120" s="6">
        <v>38</v>
      </c>
      <c r="N120" s="59">
        <f t="shared" si="2"/>
        <v>14.7</v>
      </c>
    </row>
    <row r="121" spans="1:14">
      <c r="A121" s="44" t="s">
        <v>218</v>
      </c>
      <c r="B121" s="44"/>
      <c r="C121" s="35"/>
      <c r="D121" s="35">
        <v>45456</v>
      </c>
      <c r="E121" s="4">
        <v>45456</v>
      </c>
      <c r="F121" s="40"/>
      <c r="G121" s="40"/>
      <c r="H121" s="5">
        <v>10</v>
      </c>
      <c r="I121" s="102"/>
      <c r="J121" s="40">
        <v>45</v>
      </c>
      <c r="K121" s="40"/>
      <c r="L121" s="6">
        <v>80</v>
      </c>
      <c r="M121" s="6">
        <v>27</v>
      </c>
      <c r="N121" s="59">
        <f t="shared" si="2"/>
        <v>37.099999999999994</v>
      </c>
    </row>
    <row r="122" spans="1:14">
      <c r="A122" s="44" t="s">
        <v>366</v>
      </c>
      <c r="B122" s="44"/>
      <c r="C122" s="35"/>
      <c r="D122" s="35">
        <v>45454</v>
      </c>
      <c r="E122" s="4"/>
      <c r="F122" s="40"/>
      <c r="G122" s="40"/>
      <c r="H122" s="5"/>
      <c r="I122" s="102"/>
      <c r="J122" s="40"/>
      <c r="K122" s="40"/>
      <c r="L122" s="6">
        <v>59</v>
      </c>
      <c r="M122" s="6">
        <v>38</v>
      </c>
      <c r="N122" s="59">
        <f t="shared" si="2"/>
        <v>14.7</v>
      </c>
    </row>
    <row r="123" spans="1:14">
      <c r="A123" s="44" t="s">
        <v>64</v>
      </c>
      <c r="B123" s="44"/>
      <c r="C123" s="35"/>
      <c r="D123" s="35">
        <v>45469</v>
      </c>
      <c r="E123" s="4">
        <v>45469</v>
      </c>
      <c r="F123" s="40"/>
      <c r="G123" s="40"/>
      <c r="H123" s="5"/>
      <c r="I123" s="102"/>
      <c r="J123" s="40"/>
      <c r="K123" s="40"/>
      <c r="L123" s="6">
        <v>100</v>
      </c>
      <c r="M123" s="18">
        <v>5</v>
      </c>
      <c r="N123" s="59">
        <f t="shared" si="2"/>
        <v>66.5</v>
      </c>
    </row>
    <row r="124" spans="1:14">
      <c r="A124" s="44" t="s">
        <v>369</v>
      </c>
      <c r="B124" s="44"/>
      <c r="C124" s="35"/>
      <c r="D124" s="35">
        <v>45464</v>
      </c>
      <c r="E124" s="4">
        <v>41811</v>
      </c>
      <c r="F124" s="40"/>
      <c r="G124" s="40"/>
      <c r="H124" s="5">
        <v>24.98</v>
      </c>
      <c r="I124" s="102"/>
      <c r="J124" s="40">
        <v>15</v>
      </c>
      <c r="K124" s="40"/>
      <c r="L124" s="6">
        <v>80</v>
      </c>
      <c r="M124" s="6">
        <v>42.5</v>
      </c>
      <c r="N124" s="59">
        <f t="shared" si="2"/>
        <v>26.25</v>
      </c>
    </row>
    <row r="125" spans="1:14">
      <c r="A125" s="44" t="s">
        <v>370</v>
      </c>
      <c r="B125" s="44"/>
      <c r="C125" s="35"/>
      <c r="D125" s="35">
        <v>45444</v>
      </c>
      <c r="E125" s="4">
        <v>41791</v>
      </c>
      <c r="F125" s="40"/>
      <c r="G125" s="40"/>
      <c r="H125" s="5">
        <v>12.98</v>
      </c>
      <c r="I125" s="102"/>
      <c r="J125" s="40">
        <v>30</v>
      </c>
      <c r="K125" s="40"/>
      <c r="L125" s="6">
        <v>65</v>
      </c>
      <c r="M125" s="6">
        <v>18</v>
      </c>
      <c r="N125" s="59">
        <f t="shared" si="2"/>
        <v>32.9</v>
      </c>
    </row>
    <row r="126" spans="1:14">
      <c r="A126" s="44" t="s">
        <v>375</v>
      </c>
      <c r="B126" s="44"/>
      <c r="C126" s="35"/>
      <c r="D126" s="35">
        <v>45471</v>
      </c>
      <c r="E126" s="35">
        <v>45471</v>
      </c>
      <c r="F126" s="40"/>
      <c r="G126" s="40"/>
      <c r="H126" s="5">
        <f>10+12.01</f>
        <v>22.009999999999998</v>
      </c>
      <c r="I126" s="102"/>
      <c r="J126" s="40">
        <v>30</v>
      </c>
      <c r="K126" s="40"/>
      <c r="L126" s="6">
        <v>90</v>
      </c>
      <c r="M126" s="18">
        <f>38.5+1+18</f>
        <v>57.5</v>
      </c>
      <c r="N126" s="70">
        <f t="shared" si="2"/>
        <v>22.75</v>
      </c>
    </row>
    <row r="127" spans="1:14">
      <c r="A127" s="44" t="s">
        <v>83</v>
      </c>
      <c r="B127" s="44"/>
      <c r="C127" s="35"/>
      <c r="D127" s="35">
        <v>45482</v>
      </c>
      <c r="E127" s="35">
        <v>45482</v>
      </c>
      <c r="F127" s="40"/>
      <c r="G127" s="40"/>
      <c r="H127" s="5"/>
      <c r="I127" s="102"/>
      <c r="J127" s="40"/>
      <c r="K127" s="40"/>
      <c r="L127" s="6">
        <v>69</v>
      </c>
      <c r="M127" s="18">
        <v>43</v>
      </c>
      <c r="N127" s="70">
        <f t="shared" ref="N127:N132" si="3">(L127-M127)*0.7</f>
        <v>18.2</v>
      </c>
    </row>
    <row r="128" spans="1:14">
      <c r="A128" s="44" t="s">
        <v>383</v>
      </c>
      <c r="B128" s="44"/>
      <c r="C128" s="35"/>
      <c r="D128" s="35">
        <v>45434</v>
      </c>
      <c r="E128" s="35">
        <v>45513</v>
      </c>
      <c r="F128" s="40"/>
      <c r="G128" s="40"/>
      <c r="H128" s="5">
        <v>14.58</v>
      </c>
      <c r="I128" s="102"/>
      <c r="J128" s="40"/>
      <c r="K128" s="40"/>
      <c r="L128" s="6">
        <v>69</v>
      </c>
      <c r="M128" s="18">
        <v>43</v>
      </c>
      <c r="N128" s="70">
        <f t="shared" si="3"/>
        <v>18.2</v>
      </c>
    </row>
    <row r="129" spans="1:16">
      <c r="A129" s="44" t="s">
        <v>384</v>
      </c>
      <c r="B129" s="44"/>
      <c r="C129" s="35"/>
      <c r="D129" s="35"/>
      <c r="E129" s="35">
        <v>45513</v>
      </c>
      <c r="F129" s="40"/>
      <c r="G129" s="40"/>
      <c r="H129" s="5"/>
      <c r="I129" s="102"/>
      <c r="J129" s="40">
        <v>60</v>
      </c>
      <c r="K129" s="40"/>
      <c r="L129" s="6">
        <v>105</v>
      </c>
      <c r="M129" s="6">
        <v>36</v>
      </c>
      <c r="N129" s="70">
        <f t="shared" si="3"/>
        <v>48.3</v>
      </c>
    </row>
    <row r="130" spans="1:16">
      <c r="A130" s="44" t="s">
        <v>389</v>
      </c>
      <c r="B130" s="44"/>
      <c r="C130" s="35"/>
      <c r="D130" s="35">
        <v>45574</v>
      </c>
      <c r="E130" s="35">
        <v>45574</v>
      </c>
      <c r="F130" s="40"/>
      <c r="G130" s="40"/>
      <c r="H130" s="5"/>
      <c r="I130" s="102"/>
      <c r="J130" s="40"/>
      <c r="K130" s="40"/>
      <c r="L130" s="6">
        <v>10</v>
      </c>
      <c r="M130" s="6">
        <v>1</v>
      </c>
      <c r="N130" s="59">
        <f t="shared" si="3"/>
        <v>6.3</v>
      </c>
    </row>
    <row r="131" spans="1:16">
      <c r="A131" s="44" t="s">
        <v>397</v>
      </c>
      <c r="B131" s="44"/>
      <c r="C131" s="35"/>
      <c r="D131" s="35">
        <v>45510</v>
      </c>
      <c r="E131" s="35">
        <v>45574</v>
      </c>
      <c r="F131" s="40"/>
      <c r="G131" s="40"/>
      <c r="H131" s="5">
        <v>31.89</v>
      </c>
      <c r="I131" s="102">
        <f>79/30*63*0.5</f>
        <v>82.95</v>
      </c>
      <c r="J131" s="40">
        <v>60</v>
      </c>
      <c r="K131" s="40"/>
      <c r="L131" s="6">
        <v>174</v>
      </c>
      <c r="M131" s="6">
        <v>79</v>
      </c>
      <c r="N131" s="59">
        <f t="shared" si="3"/>
        <v>66.5</v>
      </c>
    </row>
    <row r="132" spans="1:16">
      <c r="A132" s="44" t="s">
        <v>398</v>
      </c>
      <c r="B132" s="44"/>
      <c r="C132" s="35"/>
      <c r="D132" s="35">
        <v>45516</v>
      </c>
      <c r="E132" s="35">
        <v>45583</v>
      </c>
      <c r="F132" s="40"/>
      <c r="G132" s="40"/>
      <c r="H132" s="5"/>
      <c r="I132" s="102">
        <f>56.5/30*66*0.5</f>
        <v>62.15</v>
      </c>
      <c r="J132" s="40">
        <v>75</v>
      </c>
      <c r="K132" s="40"/>
      <c r="L132" s="6">
        <v>140</v>
      </c>
      <c r="M132" s="6">
        <v>56.5</v>
      </c>
      <c r="N132" s="59">
        <f t="shared" si="3"/>
        <v>58.449999999999996</v>
      </c>
    </row>
    <row r="133" spans="1:16">
      <c r="A133" s="44" t="s">
        <v>390</v>
      </c>
      <c r="B133" s="44"/>
      <c r="C133" s="35"/>
      <c r="D133" s="35">
        <v>45573</v>
      </c>
      <c r="E133" s="35">
        <v>45621</v>
      </c>
      <c r="F133" s="40"/>
      <c r="G133" s="40"/>
      <c r="H133" s="5">
        <v>16.940000000000001</v>
      </c>
      <c r="I133" s="102">
        <f>47.5/30*47</f>
        <v>74.416666666666657</v>
      </c>
      <c r="J133" s="40">
        <v>60</v>
      </c>
      <c r="K133" s="40"/>
      <c r="L133" s="6">
        <v>130</v>
      </c>
      <c r="M133" s="6">
        <v>63.5</v>
      </c>
      <c r="N133" s="59">
        <f>(L133-M133)*0.7</f>
        <v>46.55</v>
      </c>
    </row>
    <row r="134" spans="1:16">
      <c r="C134" s="36"/>
      <c r="D134" s="36"/>
      <c r="F134" s="28"/>
      <c r="G134" s="28"/>
      <c r="H134" s="30"/>
      <c r="I134" s="30"/>
      <c r="M134" s="62" t="s">
        <v>4</v>
      </c>
      <c r="N134" s="18">
        <f>SUM(N2:N133)</f>
        <v>4836.1299999999983</v>
      </c>
    </row>
    <row r="135" spans="1:16">
      <c r="C135" s="36"/>
      <c r="D135" s="36"/>
      <c r="F135" s="28"/>
      <c r="G135" s="28"/>
      <c r="H135" s="30"/>
      <c r="I135" s="104"/>
      <c r="M135" s="61" t="s">
        <v>251</v>
      </c>
      <c r="N135" s="6">
        <f>N134-151.36</f>
        <v>4684.7699999999986</v>
      </c>
    </row>
    <row r="136" spans="1:16">
      <c r="C136" s="36"/>
      <c r="D136" s="36"/>
      <c r="F136" s="28"/>
      <c r="G136" s="28"/>
      <c r="H136" s="30"/>
      <c r="I136" s="104"/>
    </row>
    <row r="138" spans="1:16">
      <c r="A138" s="28"/>
      <c r="B138" s="28"/>
      <c r="E138" s="15"/>
      <c r="F138" s="1"/>
      <c r="G138" s="1"/>
      <c r="H138" s="1"/>
      <c r="J138" s="1"/>
      <c r="K138" s="1"/>
      <c r="L138" s="1"/>
      <c r="M138" s="1"/>
      <c r="N138" s="29"/>
    </row>
    <row r="139" spans="1:16">
      <c r="L139" s="1"/>
      <c r="M139" s="1"/>
    </row>
    <row r="140" spans="1:16">
      <c r="H140" s="30"/>
      <c r="L140" s="1"/>
      <c r="M140"/>
    </row>
    <row r="141" spans="1:16">
      <c r="M141"/>
      <c r="P141" s="42"/>
    </row>
    <row r="142" spans="1:16">
      <c r="L142" s="1"/>
    </row>
    <row r="143" spans="1:16">
      <c r="L143" s="1"/>
      <c r="P143" s="42"/>
    </row>
    <row r="144" spans="1:16">
      <c r="L144" s="1"/>
    </row>
    <row r="145" spans="12:16">
      <c r="L145" s="1"/>
      <c r="P145" s="42"/>
    </row>
    <row r="146" spans="12:16">
      <c r="L146" s="1"/>
    </row>
    <row r="147" spans="12:16">
      <c r="L147" s="1"/>
    </row>
  </sheetData>
  <autoFilter ref="A1:P135">
    <sortState ref="A2:P95">
      <sortCondition ref="B1:B95"/>
    </sortState>
  </autoFilter>
  <pageMargins left="0.7" right="0.7" top="0.75" bottom="0.75" header="0.3" footer="0.3"/>
  <pageSetup paperSize="9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>
  <dimension ref="A1:P148"/>
  <sheetViews>
    <sheetView topLeftCell="A128" workbookViewId="0">
      <selection activeCell="G148" sqref="G148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2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44</v>
      </c>
      <c r="B19" s="2"/>
      <c r="C19" s="4">
        <v>43196</v>
      </c>
      <c r="D19" s="4"/>
      <c r="E19" s="4">
        <v>43250</v>
      </c>
      <c r="F19" s="5"/>
      <c r="G19" s="49"/>
      <c r="H19" s="5">
        <v>13.78</v>
      </c>
      <c r="I19" s="102">
        <f>25*24/30+25</f>
        <v>45</v>
      </c>
      <c r="J19" s="5"/>
      <c r="K19" s="5"/>
      <c r="L19" s="6">
        <v>11</v>
      </c>
      <c r="M19" s="61">
        <v>25</v>
      </c>
      <c r="N19" s="6">
        <v>9.7999999999999989</v>
      </c>
    </row>
    <row r="20" spans="1:15">
      <c r="A20" s="22" t="s">
        <v>47</v>
      </c>
      <c r="B20" s="22"/>
      <c r="C20" s="4">
        <v>43355</v>
      </c>
      <c r="D20" s="4"/>
      <c r="E20" s="4">
        <v>43277</v>
      </c>
      <c r="F20" s="5"/>
      <c r="G20" s="49"/>
      <c r="H20" s="5">
        <v>19.98</v>
      </c>
      <c r="I20" s="102">
        <f>36*2+36/30*16</f>
        <v>91.2</v>
      </c>
      <c r="J20" s="5"/>
      <c r="K20" s="5"/>
      <c r="L20" s="6">
        <v>105</v>
      </c>
      <c r="M20" s="61">
        <v>36</v>
      </c>
      <c r="N20" s="6">
        <f t="shared" si="0"/>
        <v>48.3</v>
      </c>
    </row>
    <row r="21" spans="1:15">
      <c r="A21" s="22" t="s">
        <v>48</v>
      </c>
      <c r="B21" s="22"/>
      <c r="C21" s="4">
        <v>43367</v>
      </c>
      <c r="D21" s="4"/>
      <c r="E21" s="4">
        <v>43284</v>
      </c>
      <c r="F21" s="5"/>
      <c r="G21" s="49"/>
      <c r="H21" s="5">
        <v>9.1</v>
      </c>
      <c r="I21" s="102">
        <f>25+25/30*27</f>
        <v>47.5</v>
      </c>
      <c r="J21" s="5"/>
      <c r="K21" s="5"/>
      <c r="L21" s="6">
        <v>75</v>
      </c>
      <c r="M21" s="61">
        <v>25</v>
      </c>
      <c r="N21" s="6">
        <f t="shared" si="0"/>
        <v>35</v>
      </c>
    </row>
    <row r="22" spans="1:15">
      <c r="A22" s="2" t="s">
        <v>45</v>
      </c>
      <c r="B22" s="2"/>
      <c r="C22" s="4"/>
      <c r="D22" s="4"/>
      <c r="E22" s="4">
        <v>43286</v>
      </c>
      <c r="F22" s="5"/>
      <c r="G22" s="49"/>
      <c r="H22" s="5">
        <v>11.56</v>
      </c>
      <c r="I22" s="102"/>
      <c r="J22" s="5"/>
      <c r="K22" s="5"/>
      <c r="L22" s="6">
        <v>150</v>
      </c>
      <c r="M22" s="61">
        <v>76</v>
      </c>
      <c r="N22" s="6">
        <f t="shared" si="0"/>
        <v>51.8</v>
      </c>
      <c r="O22" s="20"/>
    </row>
    <row r="23" spans="1:15">
      <c r="A23" s="22" t="s">
        <v>49</v>
      </c>
      <c r="B23" s="22"/>
      <c r="C23" s="4">
        <v>43367</v>
      </c>
      <c r="D23" s="4"/>
      <c r="E23" s="4">
        <v>43291</v>
      </c>
      <c r="F23" s="5"/>
      <c r="G23" s="49"/>
      <c r="H23" s="5">
        <v>10.039999999999999</v>
      </c>
      <c r="I23" s="102">
        <f>50+25/30*14</f>
        <v>61.666666666666671</v>
      </c>
      <c r="J23" s="5"/>
      <c r="K23" s="5"/>
      <c r="L23" s="6">
        <v>50</v>
      </c>
      <c r="M23" s="61">
        <v>22</v>
      </c>
      <c r="N23" s="18">
        <f t="shared" si="0"/>
        <v>19.599999999999998</v>
      </c>
    </row>
    <row r="24" spans="1:15">
      <c r="A24" s="22" t="s">
        <v>51</v>
      </c>
      <c r="B24" s="22"/>
      <c r="C24" s="4">
        <v>43358</v>
      </c>
      <c r="D24" s="4"/>
      <c r="E24" s="4">
        <v>43291</v>
      </c>
      <c r="F24" s="5"/>
      <c r="G24" s="49"/>
      <c r="H24" s="5">
        <v>10.039999999999999</v>
      </c>
      <c r="I24" s="102">
        <f>50+25/30*5</f>
        <v>54.166666666666664</v>
      </c>
      <c r="J24" s="5"/>
      <c r="K24" s="5"/>
      <c r="L24" s="6">
        <v>75</v>
      </c>
      <c r="M24" s="61">
        <v>25</v>
      </c>
      <c r="N24" s="6">
        <f t="shared" si="0"/>
        <v>35</v>
      </c>
    </row>
    <row r="25" spans="1:15">
      <c r="A25" s="22" t="s">
        <v>52</v>
      </c>
      <c r="B25" s="22"/>
      <c r="C25" s="4">
        <v>43367</v>
      </c>
      <c r="D25" s="4"/>
      <c r="E25" s="4">
        <v>43308</v>
      </c>
      <c r="F25" s="5"/>
      <c r="G25" s="49"/>
      <c r="H25" s="5">
        <v>10.86</v>
      </c>
      <c r="I25" s="102">
        <f>25+25/30*27</f>
        <v>47.5</v>
      </c>
      <c r="J25" s="5"/>
      <c r="K25" s="5"/>
      <c r="L25" s="6">
        <v>75</v>
      </c>
      <c r="M25" s="61">
        <v>25</v>
      </c>
      <c r="N25" s="27">
        <f t="shared" si="0"/>
        <v>35</v>
      </c>
    </row>
    <row r="26" spans="1:15">
      <c r="A26" s="22" t="s">
        <v>50</v>
      </c>
      <c r="B26" s="22"/>
      <c r="C26" s="4">
        <v>43367</v>
      </c>
      <c r="D26" s="4"/>
      <c r="E26" s="4">
        <v>43312</v>
      </c>
      <c r="F26" s="5"/>
      <c r="G26" s="49"/>
      <c r="H26" s="5">
        <v>10.86</v>
      </c>
      <c r="I26" s="102">
        <f>25+25/30*24</f>
        <v>45</v>
      </c>
      <c r="J26" s="5"/>
      <c r="K26" s="5"/>
      <c r="L26" s="6">
        <v>70</v>
      </c>
      <c r="M26" s="61">
        <v>25</v>
      </c>
      <c r="N26" s="6">
        <f t="shared" si="0"/>
        <v>31.499999999999996</v>
      </c>
    </row>
    <row r="27" spans="1:15">
      <c r="A27" s="22" t="s">
        <v>55</v>
      </c>
      <c r="B27" s="22"/>
      <c r="C27" s="4">
        <v>43363</v>
      </c>
      <c r="D27" s="4"/>
      <c r="E27" s="4">
        <v>43440</v>
      </c>
      <c r="F27" s="5"/>
      <c r="G27" s="49"/>
      <c r="H27" s="5">
        <v>14.11</v>
      </c>
      <c r="I27" s="102">
        <f>25*2+25*16/30</f>
        <v>63.333333333333336</v>
      </c>
      <c r="J27" s="5"/>
      <c r="K27" s="5"/>
      <c r="L27" s="6">
        <v>75</v>
      </c>
      <c r="M27" s="61">
        <v>25</v>
      </c>
      <c r="N27" s="6">
        <f t="shared" si="0"/>
        <v>35</v>
      </c>
    </row>
    <row r="28" spans="1:15">
      <c r="A28" s="22" t="s">
        <v>54</v>
      </c>
      <c r="B28" s="22"/>
      <c r="C28" s="4">
        <v>43167</v>
      </c>
      <c r="D28" s="4"/>
      <c r="E28" s="4">
        <v>43455</v>
      </c>
      <c r="F28" s="5"/>
      <c r="G28" s="49"/>
      <c r="H28" s="5">
        <v>10.86</v>
      </c>
      <c r="I28" s="102">
        <f>9*25+25*13/30</f>
        <v>235.83333333333334</v>
      </c>
      <c r="J28" s="5"/>
      <c r="K28" s="5"/>
      <c r="L28" s="6">
        <v>90</v>
      </c>
      <c r="M28" s="61">
        <v>36</v>
      </c>
      <c r="N28" s="6">
        <f t="shared" si="0"/>
        <v>37.799999999999997</v>
      </c>
    </row>
    <row r="29" spans="1:15">
      <c r="A29" s="22" t="s">
        <v>57</v>
      </c>
      <c r="B29" s="55"/>
      <c r="C29" s="31">
        <v>43478</v>
      </c>
      <c r="D29" s="31"/>
      <c r="E29" s="4">
        <v>43536</v>
      </c>
      <c r="F29" s="5"/>
      <c r="G29" s="49"/>
      <c r="H29" s="5">
        <v>10.86</v>
      </c>
      <c r="I29" s="102">
        <v>25</v>
      </c>
      <c r="J29" s="5"/>
      <c r="K29" s="5"/>
      <c r="L29" s="6">
        <v>70</v>
      </c>
      <c r="M29" s="61">
        <v>25</v>
      </c>
      <c r="N29" s="6">
        <f t="shared" si="0"/>
        <v>31.499999999999996</v>
      </c>
    </row>
    <row r="30" spans="1:15">
      <c r="A30" s="22" t="s">
        <v>59</v>
      </c>
      <c r="B30" s="22"/>
      <c r="C30" s="4">
        <v>43528</v>
      </c>
      <c r="D30" s="4"/>
      <c r="E30" s="4">
        <v>43538</v>
      </c>
      <c r="F30" s="5"/>
      <c r="G30" s="49"/>
      <c r="H30" s="5">
        <v>14.92</v>
      </c>
      <c r="I30" s="102">
        <f>77/30*10</f>
        <v>25.666666666666668</v>
      </c>
      <c r="J30" s="5"/>
      <c r="K30" s="5"/>
      <c r="L30" s="6">
        <v>169</v>
      </c>
      <c r="M30" s="61">
        <f>64+11+2</f>
        <v>77</v>
      </c>
      <c r="N30" s="6">
        <f t="shared" si="0"/>
        <v>64.399999999999991</v>
      </c>
    </row>
    <row r="31" spans="1:15">
      <c r="A31" s="22" t="s">
        <v>58</v>
      </c>
      <c r="B31" s="22"/>
      <c r="C31" s="4">
        <v>43534</v>
      </c>
      <c r="D31" s="4"/>
      <c r="E31" s="4">
        <v>43542</v>
      </c>
      <c r="F31" s="5"/>
      <c r="G31" s="49"/>
      <c r="H31" s="5">
        <f>10.86*2</f>
        <v>21.72</v>
      </c>
      <c r="I31" s="102">
        <v>0</v>
      </c>
      <c r="J31" s="5"/>
      <c r="K31" s="5"/>
      <c r="L31" s="6">
        <v>60</v>
      </c>
      <c r="M31" s="61">
        <v>33</v>
      </c>
      <c r="N31" s="6">
        <v>18.899999999999999</v>
      </c>
    </row>
    <row r="32" spans="1:15">
      <c r="A32" s="22" t="s">
        <v>61</v>
      </c>
      <c r="B32" s="22"/>
      <c r="C32" s="4">
        <v>43482</v>
      </c>
      <c r="D32" s="4"/>
      <c r="E32" s="4">
        <v>43542</v>
      </c>
      <c r="F32" s="5"/>
      <c r="G32" s="49"/>
      <c r="H32" s="5">
        <v>11.1</v>
      </c>
      <c r="I32" s="102">
        <f>25*2</f>
        <v>50</v>
      </c>
      <c r="J32" s="5"/>
      <c r="K32" s="5"/>
      <c r="L32" s="6">
        <v>70</v>
      </c>
      <c r="M32" s="61">
        <v>26</v>
      </c>
      <c r="N32" s="6">
        <f t="shared" si="0"/>
        <v>30.799999999999997</v>
      </c>
    </row>
    <row r="33" spans="1:16">
      <c r="A33" s="22" t="s">
        <v>67</v>
      </c>
      <c r="B33" s="22"/>
      <c r="C33" s="4">
        <v>43600</v>
      </c>
      <c r="D33" s="4"/>
      <c r="E33" s="4">
        <v>43629</v>
      </c>
      <c r="F33" s="5"/>
      <c r="G33" s="49"/>
      <c r="H33" s="5">
        <f>10.86*2</f>
        <v>21.72</v>
      </c>
      <c r="I33" s="102">
        <f>22/30*58</f>
        <v>42.533333333333331</v>
      </c>
      <c r="J33" s="5">
        <v>50</v>
      </c>
      <c r="K33" s="5">
        <f>H33+I33+J33</f>
        <v>114.25333333333333</v>
      </c>
      <c r="L33" s="6">
        <v>60</v>
      </c>
      <c r="M33" s="61">
        <v>25</v>
      </c>
      <c r="N33" s="6">
        <v>0</v>
      </c>
    </row>
    <row r="34" spans="1:16">
      <c r="A34" s="22" t="s">
        <v>66</v>
      </c>
      <c r="B34" s="22"/>
      <c r="C34" s="4">
        <v>43600</v>
      </c>
      <c r="D34" s="4"/>
      <c r="E34" s="4">
        <v>43629</v>
      </c>
      <c r="F34" s="5"/>
      <c r="G34" s="49"/>
      <c r="H34" s="5">
        <f>10.86</f>
        <v>10.86</v>
      </c>
      <c r="I34" s="102">
        <f>39/30*58</f>
        <v>75.400000000000006</v>
      </c>
      <c r="J34" s="5"/>
      <c r="K34" s="5">
        <f>H34+I34</f>
        <v>86.26</v>
      </c>
      <c r="L34" s="6">
        <v>110</v>
      </c>
      <c r="M34" s="61">
        <f>25+11+3</f>
        <v>39</v>
      </c>
      <c r="N34" s="6">
        <v>0</v>
      </c>
      <c r="O34" t="s">
        <v>73</v>
      </c>
    </row>
    <row r="35" spans="1:16">
      <c r="A35" s="22" t="s">
        <v>64</v>
      </c>
      <c r="B35" s="22"/>
      <c r="C35" s="4">
        <v>43627</v>
      </c>
      <c r="D35" s="4"/>
      <c r="E35" s="4">
        <v>43629</v>
      </c>
      <c r="F35" s="5"/>
      <c r="G35" s="49"/>
      <c r="H35" s="5">
        <v>10.86</v>
      </c>
      <c r="I35" s="102">
        <f>25/30*2</f>
        <v>1.6666666666666667</v>
      </c>
      <c r="J35" s="5"/>
      <c r="K35" s="5">
        <f>H35+I35</f>
        <v>12.526666666666666</v>
      </c>
      <c r="L35" s="6">
        <v>200</v>
      </c>
      <c r="M35" s="61">
        <v>11</v>
      </c>
      <c r="N35" s="5">
        <f t="shared" ref="N35:N46" si="1">(L35-M35)*0.7</f>
        <v>132.29999999999998</v>
      </c>
    </row>
    <row r="36" spans="1:16">
      <c r="A36" s="22" t="s">
        <v>65</v>
      </c>
      <c r="B36" s="22"/>
      <c r="C36" s="4">
        <v>43622</v>
      </c>
      <c r="D36" s="4"/>
      <c r="E36" s="4">
        <v>43650</v>
      </c>
      <c r="F36" s="5"/>
      <c r="G36" s="49"/>
      <c r="H36" s="5">
        <v>10.86</v>
      </c>
      <c r="I36" s="102"/>
      <c r="J36" s="5"/>
      <c r="K36" s="5"/>
      <c r="L36" s="6">
        <v>120</v>
      </c>
      <c r="M36" s="61">
        <v>60</v>
      </c>
      <c r="N36" s="6">
        <f t="shared" si="1"/>
        <v>42</v>
      </c>
    </row>
    <row r="37" spans="1:16">
      <c r="A37" s="22" t="s">
        <v>71</v>
      </c>
      <c r="B37" s="22"/>
      <c r="C37" s="4">
        <v>43635</v>
      </c>
      <c r="D37" s="4"/>
      <c r="E37" s="4">
        <v>43662</v>
      </c>
      <c r="F37" s="5"/>
      <c r="G37" s="49"/>
      <c r="H37" s="5">
        <f>10.86*2</f>
        <v>21.72</v>
      </c>
      <c r="I37" s="102"/>
      <c r="J37" s="5"/>
      <c r="K37" s="5"/>
      <c r="L37" s="6">
        <v>70</v>
      </c>
      <c r="M37" s="61">
        <v>26</v>
      </c>
      <c r="N37" s="6">
        <f t="shared" si="1"/>
        <v>30.799999999999997</v>
      </c>
      <c r="O37" t="s">
        <v>72</v>
      </c>
    </row>
    <row r="38" spans="1:16">
      <c r="A38" s="2" t="s">
        <v>75</v>
      </c>
      <c r="B38" s="2"/>
      <c r="C38" s="4">
        <v>43656</v>
      </c>
      <c r="D38" s="4"/>
      <c r="E38" s="4">
        <v>43711</v>
      </c>
      <c r="F38" s="5"/>
      <c r="G38" s="49"/>
      <c r="H38" s="5">
        <v>10.86</v>
      </c>
      <c r="I38" s="102">
        <f>36/30*48</f>
        <v>57.599999999999994</v>
      </c>
      <c r="J38" s="5"/>
      <c r="K38" s="5"/>
      <c r="L38" s="6">
        <v>105</v>
      </c>
      <c r="M38" s="61">
        <v>36</v>
      </c>
      <c r="N38" s="6">
        <f t="shared" si="1"/>
        <v>48.3</v>
      </c>
    </row>
    <row r="39" spans="1:16">
      <c r="A39" s="2" t="s">
        <v>76</v>
      </c>
      <c r="B39" s="2"/>
      <c r="C39" s="4">
        <v>43677</v>
      </c>
      <c r="D39" s="4"/>
      <c r="E39" s="4">
        <v>43713</v>
      </c>
      <c r="F39" s="5"/>
      <c r="G39" s="49"/>
      <c r="H39" s="5">
        <v>24.06</v>
      </c>
      <c r="I39" s="102">
        <f>80/30*35</f>
        <v>93.333333333333329</v>
      </c>
      <c r="J39" s="5">
        <v>40</v>
      </c>
      <c r="K39" s="5"/>
      <c r="L39" s="6">
        <v>149</v>
      </c>
      <c r="M39" s="61">
        <v>80</v>
      </c>
      <c r="N39" s="6">
        <f t="shared" si="1"/>
        <v>48.3</v>
      </c>
      <c r="O39" t="s">
        <v>79</v>
      </c>
    </row>
    <row r="40" spans="1:16">
      <c r="A40" s="10" t="s">
        <v>81</v>
      </c>
      <c r="B40" s="10"/>
      <c r="C40" s="11">
        <v>45444</v>
      </c>
      <c r="D40" s="11"/>
      <c r="E40" s="11">
        <v>45408</v>
      </c>
      <c r="F40" s="12"/>
      <c r="G40" s="12"/>
      <c r="H40" s="12"/>
      <c r="I40" s="106">
        <f>43/30*34</f>
        <v>48.733333333333334</v>
      </c>
      <c r="J40" s="12"/>
      <c r="K40" s="12"/>
      <c r="L40" s="12">
        <v>129</v>
      </c>
      <c r="M40" s="107">
        <v>61</v>
      </c>
      <c r="N40" s="12">
        <f t="shared" si="1"/>
        <v>47.599999999999994</v>
      </c>
    </row>
    <row r="41" spans="1:16">
      <c r="A41" s="22" t="s">
        <v>87</v>
      </c>
      <c r="B41" s="22"/>
      <c r="C41" s="35">
        <v>43878</v>
      </c>
      <c r="D41" s="35"/>
      <c r="E41" s="35">
        <v>43892</v>
      </c>
      <c r="F41" s="5"/>
      <c r="G41" s="49"/>
      <c r="H41" s="5">
        <v>12.19</v>
      </c>
      <c r="I41" s="102"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22" t="s">
        <v>89</v>
      </c>
      <c r="B42" s="22"/>
      <c r="C42" s="35">
        <v>43908</v>
      </c>
      <c r="D42" s="35"/>
      <c r="E42" s="35">
        <v>43893</v>
      </c>
      <c r="F42" s="5"/>
      <c r="G42" s="49"/>
      <c r="H42" s="5">
        <v>9.6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6">
      <c r="A43" s="22" t="s">
        <v>85</v>
      </c>
      <c r="B43" s="22"/>
      <c r="C43" s="35">
        <v>43881</v>
      </c>
      <c r="D43" s="35"/>
      <c r="E43" s="35">
        <v>43895</v>
      </c>
      <c r="F43" s="5"/>
      <c r="G43" s="49"/>
      <c r="H43" s="5">
        <v>9.14</v>
      </c>
      <c r="I43" s="102">
        <f>11/30*15</f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6">
      <c r="A44" s="39" t="s">
        <v>82</v>
      </c>
      <c r="B44" s="28"/>
      <c r="C44" s="36">
        <v>40235</v>
      </c>
      <c r="D44" s="36"/>
      <c r="E44" s="36">
        <v>43901</v>
      </c>
      <c r="F44" s="5"/>
      <c r="G44" s="34"/>
      <c r="H44" s="37">
        <v>9.6</v>
      </c>
      <c r="I44" s="102">
        <f>11/2</f>
        <v>5.5</v>
      </c>
      <c r="J44" s="5"/>
      <c r="K44" s="5"/>
      <c r="L44" s="17">
        <v>25</v>
      </c>
      <c r="M44" s="63">
        <v>11</v>
      </c>
      <c r="N44" s="26">
        <f t="shared" si="1"/>
        <v>9.7999999999999989</v>
      </c>
    </row>
    <row r="45" spans="1:16">
      <c r="A45" s="22" t="s">
        <v>80</v>
      </c>
      <c r="B45" s="22"/>
      <c r="C45" s="35">
        <v>43873</v>
      </c>
      <c r="D45" s="35"/>
      <c r="E45" s="35">
        <v>43910</v>
      </c>
      <c r="F45" s="5"/>
      <c r="G45" s="49"/>
      <c r="H45" s="5">
        <v>21.84</v>
      </c>
      <c r="I45" s="102">
        <f>56/30*38</f>
        <v>70.933333333333337</v>
      </c>
      <c r="J45" s="5"/>
      <c r="K45" s="5"/>
      <c r="L45" s="6">
        <v>120</v>
      </c>
      <c r="M45" s="61">
        <v>56</v>
      </c>
      <c r="N45" s="6">
        <f t="shared" si="1"/>
        <v>44.8</v>
      </c>
    </row>
    <row r="46" spans="1:16">
      <c r="A46" s="22" t="s">
        <v>88</v>
      </c>
      <c r="B46" s="22"/>
      <c r="C46" s="35">
        <v>43855</v>
      </c>
      <c r="D46" s="35"/>
      <c r="E46" s="35">
        <v>43941</v>
      </c>
      <c r="F46" s="5"/>
      <c r="G46" s="49"/>
      <c r="H46" s="5">
        <v>13.93</v>
      </c>
      <c r="I46" s="102">
        <f>56/30*85</f>
        <v>158.66666666666666</v>
      </c>
      <c r="J46" s="5"/>
      <c r="K46" s="5"/>
      <c r="L46" s="6">
        <v>110</v>
      </c>
      <c r="M46" s="61">
        <v>56</v>
      </c>
      <c r="N46" s="6">
        <f t="shared" si="1"/>
        <v>37.799999999999997</v>
      </c>
    </row>
    <row r="47" spans="1:16">
      <c r="A47" s="22" t="s">
        <v>90</v>
      </c>
      <c r="B47" s="22"/>
      <c r="C47" s="35" t="s">
        <v>96</v>
      </c>
      <c r="D47" s="35"/>
      <c r="E47" s="35">
        <v>44015</v>
      </c>
      <c r="F47" s="5" t="s">
        <v>160</v>
      </c>
      <c r="G47" s="49">
        <v>12.5</v>
      </c>
      <c r="H47" s="5">
        <v>11.29</v>
      </c>
      <c r="I47" s="102">
        <f>100</f>
        <v>100</v>
      </c>
      <c r="J47" s="5"/>
      <c r="K47" s="5"/>
      <c r="L47" s="6">
        <v>105</v>
      </c>
      <c r="M47" s="61">
        <f>25+11+22</f>
        <v>58</v>
      </c>
      <c r="N47" s="6">
        <f>12.5+(92.5-M47)*0.7</f>
        <v>36.65</v>
      </c>
      <c r="P47" s="41"/>
    </row>
    <row r="48" spans="1:16">
      <c r="A48" s="22" t="s">
        <v>97</v>
      </c>
      <c r="B48" s="22"/>
      <c r="C48" s="35">
        <v>43990</v>
      </c>
      <c r="D48" s="35"/>
      <c r="E48" s="35">
        <v>44036</v>
      </c>
      <c r="F48" s="5"/>
      <c r="G48" s="49"/>
      <c r="H48" s="5">
        <v>8.75</v>
      </c>
      <c r="I48" s="102">
        <f>56/30*46</f>
        <v>85.866666666666674</v>
      </c>
      <c r="J48" s="5"/>
      <c r="K48" s="5"/>
      <c r="L48" s="6">
        <v>110</v>
      </c>
      <c r="M48" s="61">
        <f>45+11</f>
        <v>56</v>
      </c>
      <c r="N48" s="6">
        <f>(L48-M48)*0.7</f>
        <v>37.799999999999997</v>
      </c>
    </row>
    <row r="49" spans="1:16">
      <c r="A49" s="22" t="s">
        <v>95</v>
      </c>
      <c r="B49" s="22"/>
      <c r="C49" s="35">
        <v>44028</v>
      </c>
      <c r="D49" s="35"/>
      <c r="E49" s="35">
        <v>44040</v>
      </c>
      <c r="F49" s="5"/>
      <c r="G49" s="49"/>
      <c r="H49" s="5">
        <v>8.75</v>
      </c>
      <c r="I49" s="102">
        <f>41/30*12</f>
        <v>16.399999999999999</v>
      </c>
      <c r="J49" s="5"/>
      <c r="K49" s="5"/>
      <c r="L49" s="6">
        <v>60</v>
      </c>
      <c r="M49" s="61">
        <v>41</v>
      </c>
      <c r="N49" s="6">
        <f>(L49-M49)*0.7</f>
        <v>13.299999999999999</v>
      </c>
    </row>
    <row r="50" spans="1:16">
      <c r="A50" s="22" t="s">
        <v>94</v>
      </c>
      <c r="B50" s="22"/>
      <c r="C50" s="35">
        <v>44011</v>
      </c>
      <c r="D50" s="35"/>
      <c r="E50" s="35">
        <v>44084</v>
      </c>
      <c r="F50" s="5"/>
      <c r="G50" s="49"/>
      <c r="H50" s="5">
        <v>11.29</v>
      </c>
      <c r="I50" s="102">
        <f>25/30*71</f>
        <v>59.166666666666671</v>
      </c>
      <c r="J50" s="5"/>
      <c r="K50" s="5"/>
      <c r="L50" s="6">
        <v>40</v>
      </c>
      <c r="M50" s="61">
        <v>25</v>
      </c>
      <c r="N50" s="6">
        <f>(L50-M50)*0.7</f>
        <v>10.5</v>
      </c>
    </row>
    <row r="51" spans="1:16">
      <c r="A51" s="2" t="s">
        <v>99</v>
      </c>
      <c r="B51" s="2"/>
      <c r="C51" s="35">
        <v>44084</v>
      </c>
      <c r="D51" s="35"/>
      <c r="E51" s="35">
        <v>44105</v>
      </c>
      <c r="F51" s="5" t="s">
        <v>160</v>
      </c>
      <c r="G51" s="49">
        <v>5</v>
      </c>
      <c r="H51" s="5">
        <v>12.24</v>
      </c>
      <c r="I51" s="102">
        <f>25/30*20</f>
        <v>16.666666666666668</v>
      </c>
      <c r="J51" s="5"/>
      <c r="K51" s="5"/>
      <c r="L51" s="43">
        <v>40</v>
      </c>
      <c r="M51" s="61">
        <v>22</v>
      </c>
      <c r="N51" s="6">
        <f>5+13*0.7</f>
        <v>14.1</v>
      </c>
      <c r="P51" s="41"/>
    </row>
    <row r="52" spans="1:16">
      <c r="A52" s="2" t="s">
        <v>102</v>
      </c>
      <c r="B52" s="2"/>
      <c r="C52" s="4" t="s">
        <v>103</v>
      </c>
      <c r="D52" s="4"/>
      <c r="E52" s="4">
        <v>44110</v>
      </c>
      <c r="F52" s="5" t="s">
        <v>160</v>
      </c>
      <c r="G52" s="49">
        <v>10</v>
      </c>
      <c r="H52" s="5">
        <v>36.65</v>
      </c>
      <c r="I52" s="102">
        <f>115/30*26</f>
        <v>99.666666666666671</v>
      </c>
      <c r="J52" s="5"/>
      <c r="K52" s="5"/>
      <c r="L52" s="6">
        <v>180</v>
      </c>
      <c r="M52" s="61">
        <v>115</v>
      </c>
      <c r="N52" s="6">
        <f>10+55*0.7</f>
        <v>48.5</v>
      </c>
      <c r="P52" s="41"/>
    </row>
    <row r="53" spans="1:16">
      <c r="A53" s="2" t="s">
        <v>94</v>
      </c>
      <c r="B53" s="2"/>
      <c r="C53" s="35">
        <v>44124</v>
      </c>
      <c r="D53" s="35"/>
      <c r="E53" s="35">
        <v>44124</v>
      </c>
      <c r="F53" s="5"/>
      <c r="G53" s="49"/>
      <c r="H53" s="5">
        <v>7.25</v>
      </c>
      <c r="I53" s="102">
        <v>0</v>
      </c>
      <c r="J53" s="5"/>
      <c r="K53" s="5"/>
      <c r="L53" s="6">
        <v>25</v>
      </c>
      <c r="M53" s="61">
        <v>11</v>
      </c>
      <c r="N53" s="6">
        <f>(L53-M53)*0.7</f>
        <v>9.7999999999999989</v>
      </c>
    </row>
    <row r="54" spans="1:16">
      <c r="A54" s="2" t="s">
        <v>100</v>
      </c>
      <c r="B54" s="2"/>
      <c r="C54" s="4">
        <v>44018</v>
      </c>
      <c r="D54" s="4"/>
      <c r="E54" s="4">
        <v>44124</v>
      </c>
      <c r="F54" s="40"/>
      <c r="G54" s="2"/>
      <c r="H54" s="5">
        <v>9.5</v>
      </c>
      <c r="I54" s="102">
        <f>25/30*104</f>
        <v>86.666666666666671</v>
      </c>
      <c r="J54" s="5"/>
      <c r="K54" s="5"/>
      <c r="L54" s="6">
        <v>70</v>
      </c>
      <c r="M54" s="61">
        <v>25</v>
      </c>
      <c r="N54" s="6">
        <f>(L54-M54)*0.7</f>
        <v>31.499999999999996</v>
      </c>
    </row>
    <row r="55" spans="1:16">
      <c r="A55" s="2" t="s">
        <v>101</v>
      </c>
      <c r="B55" s="2"/>
      <c r="C55" s="4">
        <v>44070</v>
      </c>
      <c r="D55" s="4"/>
      <c r="E55" s="4">
        <v>44131</v>
      </c>
      <c r="F55" s="40"/>
      <c r="G55" s="2"/>
      <c r="H55" s="5">
        <v>13.93</v>
      </c>
      <c r="I55" s="102">
        <f>71/30*60</f>
        <v>142</v>
      </c>
      <c r="J55" s="5"/>
      <c r="K55" s="5"/>
      <c r="L55" s="6">
        <v>120</v>
      </c>
      <c r="M55" s="61">
        <f>60+11</f>
        <v>71</v>
      </c>
      <c r="N55" s="6">
        <f>(L55-M55)*0.7</f>
        <v>34.299999999999997</v>
      </c>
    </row>
    <row r="56" spans="1:16">
      <c r="A56" s="22" t="s">
        <v>104</v>
      </c>
      <c r="B56" s="22"/>
      <c r="C56" s="4">
        <v>44159</v>
      </c>
      <c r="D56" s="4"/>
      <c r="E56" s="4">
        <v>44187</v>
      </c>
      <c r="F56" s="40"/>
      <c r="G56" s="2"/>
      <c r="H56" s="5">
        <v>13.93</v>
      </c>
      <c r="I56" s="102">
        <f>36/30*28</f>
        <v>33.6</v>
      </c>
      <c r="J56" s="5"/>
      <c r="K56" s="5"/>
      <c r="L56" s="6">
        <v>110</v>
      </c>
      <c r="M56" s="61">
        <f>25+11</f>
        <v>36</v>
      </c>
      <c r="N56" s="6">
        <f>(L56-M56)*0.7</f>
        <v>51.8</v>
      </c>
    </row>
    <row r="57" spans="1:16">
      <c r="A57" s="22" t="s">
        <v>120</v>
      </c>
      <c r="B57" s="22"/>
      <c r="C57" s="4">
        <v>44169</v>
      </c>
      <c r="D57" s="4"/>
      <c r="E57" s="4">
        <v>44208</v>
      </c>
      <c r="F57" s="5" t="s">
        <v>160</v>
      </c>
      <c r="G57" s="49">
        <v>10</v>
      </c>
      <c r="H57" s="5"/>
      <c r="I57" s="102">
        <f>41/30*38</f>
        <v>51.933333333333337</v>
      </c>
      <c r="J57" s="5"/>
      <c r="K57" s="5"/>
      <c r="L57" s="6">
        <v>70</v>
      </c>
      <c r="M57" s="61">
        <v>45</v>
      </c>
      <c r="N57" s="5">
        <f>10+(60-45)*0.7</f>
        <v>20.5</v>
      </c>
      <c r="O57" s="1" t="s">
        <v>145</v>
      </c>
    </row>
    <row r="58" spans="1:16">
      <c r="A58" s="22" t="s">
        <v>108</v>
      </c>
      <c r="B58" s="22"/>
      <c r="C58" s="4">
        <v>44185</v>
      </c>
      <c r="D58" s="4"/>
      <c r="E58" s="4">
        <v>44242</v>
      </c>
      <c r="F58" s="5" t="s">
        <v>160</v>
      </c>
      <c r="G58" s="49">
        <v>20</v>
      </c>
      <c r="H58" s="5">
        <v>26.48</v>
      </c>
      <c r="I58" s="102">
        <f>50/30*55</f>
        <v>91.666666666666671</v>
      </c>
      <c r="J58" s="5">
        <v>160</v>
      </c>
      <c r="K58" s="5"/>
      <c r="L58" s="6">
        <v>130</v>
      </c>
      <c r="M58" s="61">
        <v>34</v>
      </c>
      <c r="N58" s="5">
        <f>(20+(110-34)*0.7)</f>
        <v>73.199999999999989</v>
      </c>
      <c r="O58" s="1" t="s">
        <v>145</v>
      </c>
    </row>
    <row r="59" spans="1:16">
      <c r="A59" s="22" t="s">
        <v>109</v>
      </c>
      <c r="B59" s="22"/>
      <c r="C59" s="4">
        <v>44209</v>
      </c>
      <c r="D59" s="4"/>
      <c r="E59" s="4">
        <v>44250</v>
      </c>
      <c r="F59" s="5" t="s">
        <v>160</v>
      </c>
      <c r="G59" s="49">
        <v>22.5</v>
      </c>
      <c r="H59" s="5">
        <v>22.83</v>
      </c>
      <c r="I59" s="102">
        <f>100/30*40</f>
        <v>133.33333333333334</v>
      </c>
      <c r="J59" s="5">
        <v>125</v>
      </c>
      <c r="K59" s="5"/>
      <c r="L59" s="6">
        <v>210</v>
      </c>
      <c r="M59" s="61">
        <v>100</v>
      </c>
      <c r="N59" s="6">
        <f>(22.5+87.5*0.7)</f>
        <v>83.75</v>
      </c>
    </row>
    <row r="60" spans="1:16">
      <c r="A60" s="2" t="s">
        <v>113</v>
      </c>
      <c r="B60" s="2"/>
      <c r="C60" s="4">
        <v>44245</v>
      </c>
      <c r="D60" s="4"/>
      <c r="E60" s="4">
        <v>44271</v>
      </c>
      <c r="F60" s="5" t="s">
        <v>160</v>
      </c>
      <c r="G60" s="49">
        <v>15</v>
      </c>
      <c r="H60" s="5">
        <v>26.76</v>
      </c>
      <c r="I60" s="102">
        <f>67/30*28</f>
        <v>62.533333333333331</v>
      </c>
      <c r="J60" s="5"/>
      <c r="K60" s="5"/>
      <c r="L60" s="6">
        <v>140</v>
      </c>
      <c r="M60" s="61">
        <v>67</v>
      </c>
      <c r="N60" s="6">
        <f>(15+0.7*58)</f>
        <v>55.599999999999994</v>
      </c>
    </row>
    <row r="61" spans="1:16">
      <c r="A61" s="2" t="s">
        <v>112</v>
      </c>
      <c r="B61" s="2"/>
      <c r="C61" s="4">
        <v>44270</v>
      </c>
      <c r="D61" s="4"/>
      <c r="E61" s="4">
        <v>44286</v>
      </c>
      <c r="F61" s="5" t="s">
        <v>160</v>
      </c>
      <c r="G61" s="49">
        <v>17.5</v>
      </c>
      <c r="H61" s="5">
        <v>31.96</v>
      </c>
      <c r="I61" s="102">
        <f>55/30*16</f>
        <v>29.333333333333332</v>
      </c>
      <c r="J61" s="5">
        <v>75</v>
      </c>
      <c r="K61" s="5"/>
      <c r="L61" s="6">
        <v>100</v>
      </c>
      <c r="M61" s="61">
        <v>55</v>
      </c>
      <c r="N61" s="6">
        <f>(17.5+27.5*0.7)</f>
        <v>36.75</v>
      </c>
    </row>
    <row r="62" spans="1:16">
      <c r="A62" s="22" t="s">
        <v>121</v>
      </c>
      <c r="B62" s="22"/>
      <c r="C62" s="4">
        <v>44316</v>
      </c>
      <c r="D62" s="4"/>
      <c r="E62" s="4">
        <v>44354</v>
      </c>
      <c r="F62" s="40"/>
      <c r="G62" s="2"/>
      <c r="H62" s="5">
        <v>15.15</v>
      </c>
      <c r="I62" s="102">
        <f>36/30*37</f>
        <v>44.4</v>
      </c>
      <c r="J62" s="5"/>
      <c r="K62" s="5"/>
      <c r="L62" s="6">
        <v>110</v>
      </c>
      <c r="M62" s="61">
        <v>36</v>
      </c>
      <c r="N62" s="5">
        <f>(L62-M62)*0.7</f>
        <v>51.8</v>
      </c>
      <c r="O62" s="1" t="s">
        <v>145</v>
      </c>
    </row>
    <row r="63" spans="1:16">
      <c r="A63" s="22" t="s">
        <v>126</v>
      </c>
      <c r="B63" s="22"/>
      <c r="C63" s="4">
        <v>44336</v>
      </c>
      <c r="D63" s="4"/>
      <c r="E63" s="4">
        <v>44370</v>
      </c>
      <c r="F63" s="5" t="s">
        <v>161</v>
      </c>
      <c r="G63" s="49">
        <v>17.5</v>
      </c>
      <c r="H63" s="5">
        <v>35.78</v>
      </c>
      <c r="I63" s="102">
        <f>58/30*33</f>
        <v>63.8</v>
      </c>
      <c r="J63" s="5">
        <v>50</v>
      </c>
      <c r="K63" s="5"/>
      <c r="L63" s="6">
        <v>150</v>
      </c>
      <c r="M63" s="61">
        <v>58</v>
      </c>
      <c r="N63" s="6">
        <f>(17.5+74.5*0.7)</f>
        <v>69.650000000000006</v>
      </c>
    </row>
    <row r="64" spans="1:16">
      <c r="A64" s="44" t="s">
        <v>125</v>
      </c>
      <c r="B64" s="44"/>
      <c r="C64" s="4">
        <v>44342</v>
      </c>
      <c r="D64" s="4"/>
      <c r="E64" s="4">
        <v>44386</v>
      </c>
      <c r="F64" s="5" t="s">
        <v>160</v>
      </c>
      <c r="G64" s="49">
        <v>12.5</v>
      </c>
      <c r="H64" s="5">
        <v>15.46</v>
      </c>
      <c r="I64" s="102">
        <f>36/30*43</f>
        <v>51.6</v>
      </c>
      <c r="J64" s="5">
        <f>50+45</f>
        <v>95</v>
      </c>
      <c r="K64" s="5"/>
      <c r="L64" s="6">
        <v>80</v>
      </c>
      <c r="M64" s="61">
        <v>33</v>
      </c>
      <c r="N64" s="6">
        <f>12.5+(L64-M64-12.5)*0.7</f>
        <v>36.65</v>
      </c>
    </row>
    <row r="65" spans="1:16">
      <c r="A65" s="44" t="s">
        <v>129</v>
      </c>
      <c r="B65" s="44"/>
      <c r="C65" s="4">
        <v>44348</v>
      </c>
      <c r="D65" s="4"/>
      <c r="E65" s="4">
        <v>44389</v>
      </c>
      <c r="F65" s="5" t="s">
        <v>160</v>
      </c>
      <c r="G65" s="49">
        <v>12.5</v>
      </c>
      <c r="H65" s="5">
        <v>26.22</v>
      </c>
      <c r="I65" s="102">
        <f>71/30*42</f>
        <v>99.4</v>
      </c>
      <c r="J65" s="5">
        <f>50+45</f>
        <v>95</v>
      </c>
      <c r="K65" s="5"/>
      <c r="L65" s="6">
        <v>140</v>
      </c>
      <c r="M65" s="61">
        <v>71</v>
      </c>
      <c r="N65" s="6">
        <f>(12.5+(127.5-71)*0.7)</f>
        <v>52.05</v>
      </c>
    </row>
    <row r="66" spans="1:16">
      <c r="A66" s="44" t="s">
        <v>132</v>
      </c>
      <c r="B66" s="44"/>
      <c r="C66" s="4">
        <v>44407</v>
      </c>
      <c r="D66" s="4"/>
      <c r="E66" s="4">
        <v>44461</v>
      </c>
      <c r="F66" s="40"/>
      <c r="G66" s="2"/>
      <c r="H66" s="5">
        <v>9.8800000000000008</v>
      </c>
      <c r="I66" s="102">
        <f>25/30*52</f>
        <v>43.333333333333336</v>
      </c>
      <c r="J66" s="5"/>
      <c r="K66" s="5"/>
      <c r="L66" s="6">
        <v>40</v>
      </c>
      <c r="M66" s="61">
        <v>25</v>
      </c>
      <c r="N66" s="6">
        <f>(L66-M66)*0.7</f>
        <v>10.5</v>
      </c>
    </row>
    <row r="67" spans="1:16">
      <c r="A67" s="52" t="s">
        <v>141</v>
      </c>
      <c r="B67" s="52"/>
      <c r="C67" s="57">
        <v>44459</v>
      </c>
      <c r="D67" s="57"/>
      <c r="E67" s="57">
        <v>44481</v>
      </c>
      <c r="F67" s="10" t="s">
        <v>161</v>
      </c>
      <c r="G67" s="12">
        <v>10</v>
      </c>
      <c r="H67" s="25">
        <v>15.15</v>
      </c>
      <c r="I67" s="103">
        <f>46/30*22</f>
        <v>33.733333333333334</v>
      </c>
      <c r="J67" s="25">
        <v>80</v>
      </c>
      <c r="K67" s="25"/>
      <c r="L67" s="27">
        <v>120</v>
      </c>
      <c r="M67" s="64">
        <v>46</v>
      </c>
      <c r="N67" s="27">
        <f>10+(120-56)*0.7</f>
        <v>54.8</v>
      </c>
    </row>
    <row r="68" spans="1:16">
      <c r="A68" s="52" t="s">
        <v>140</v>
      </c>
      <c r="B68" s="52"/>
      <c r="C68" s="57">
        <v>44449</v>
      </c>
      <c r="D68" s="57"/>
      <c r="E68" s="57">
        <v>44482</v>
      </c>
      <c r="F68" s="25" t="s">
        <v>160</v>
      </c>
      <c r="G68" s="58">
        <v>10</v>
      </c>
      <c r="H68" s="25">
        <v>13.4</v>
      </c>
      <c r="I68" s="103">
        <f>60/30*33</f>
        <v>66</v>
      </c>
      <c r="J68" s="25">
        <v>80</v>
      </c>
      <c r="K68" s="25"/>
      <c r="L68" s="27">
        <v>120</v>
      </c>
      <c r="M68" s="64">
        <v>61</v>
      </c>
      <c r="N68" s="27">
        <f>(10+49*0.7)</f>
        <v>44.3</v>
      </c>
    </row>
    <row r="69" spans="1:16">
      <c r="A69" s="44" t="s">
        <v>137</v>
      </c>
      <c r="B69" s="44"/>
      <c r="C69" s="35">
        <v>44474</v>
      </c>
      <c r="D69" s="35"/>
      <c r="E69" s="35">
        <v>44487</v>
      </c>
      <c r="F69" s="10" t="s">
        <v>161</v>
      </c>
      <c r="G69" s="12">
        <v>12.5</v>
      </c>
      <c r="H69" s="5">
        <v>15.15</v>
      </c>
      <c r="I69" s="102">
        <f>71/30*13</f>
        <v>30.766666666666666</v>
      </c>
      <c r="J69" s="5">
        <v>95</v>
      </c>
      <c r="K69" s="5"/>
      <c r="L69" s="6">
        <v>140</v>
      </c>
      <c r="M69" s="61">
        <v>71</v>
      </c>
      <c r="N69" s="6">
        <f>12.5+(56.5)*0.7</f>
        <v>52.05</v>
      </c>
    </row>
    <row r="70" spans="1:16">
      <c r="A70" s="44" t="s">
        <v>143</v>
      </c>
      <c r="B70" s="44"/>
      <c r="C70" s="35">
        <v>43717</v>
      </c>
      <c r="D70" s="35"/>
      <c r="E70" s="35">
        <v>44505</v>
      </c>
      <c r="F70" s="40"/>
      <c r="G70" s="49"/>
      <c r="H70" s="5">
        <v>13.4</v>
      </c>
      <c r="I70" s="102">
        <f>36*25+36/30*26</f>
        <v>931.2</v>
      </c>
      <c r="J70" s="5"/>
      <c r="K70" s="5"/>
      <c r="L70" s="6">
        <v>100</v>
      </c>
      <c r="M70" s="61">
        <v>36</v>
      </c>
      <c r="N70" s="6">
        <f>(100-36)*0.7</f>
        <v>44.8</v>
      </c>
    </row>
    <row r="71" spans="1:16">
      <c r="A71" s="44" t="s">
        <v>139</v>
      </c>
      <c r="B71" s="44"/>
      <c r="C71" s="35">
        <v>44492</v>
      </c>
      <c r="D71" s="35"/>
      <c r="E71" s="35">
        <v>44539</v>
      </c>
      <c r="F71" s="40"/>
      <c r="G71" s="49"/>
      <c r="H71" s="5">
        <v>16.350000000000001</v>
      </c>
      <c r="I71" s="102">
        <f>71/30*46</f>
        <v>108.86666666666667</v>
      </c>
      <c r="J71" s="5">
        <v>95</v>
      </c>
      <c r="K71" s="5"/>
      <c r="L71" s="6">
        <v>140</v>
      </c>
      <c r="M71" s="61">
        <v>71</v>
      </c>
      <c r="N71" s="12">
        <f>(140-71)*0.7</f>
        <v>48.3</v>
      </c>
      <c r="O71" s="72" t="s">
        <v>329</v>
      </c>
      <c r="P71" s="72">
        <v>33.81</v>
      </c>
    </row>
    <row r="72" spans="1:16">
      <c r="A72" s="44" t="s">
        <v>144</v>
      </c>
      <c r="B72" s="44"/>
      <c r="C72" s="35">
        <v>44526</v>
      </c>
      <c r="D72" s="35"/>
      <c r="E72" s="35">
        <v>44550</v>
      </c>
      <c r="F72" s="5" t="s">
        <v>160</v>
      </c>
      <c r="G72" s="49">
        <v>12.5</v>
      </c>
      <c r="H72" s="5">
        <v>13.4</v>
      </c>
      <c r="I72" s="102">
        <f>83/30*24</f>
        <v>66.400000000000006</v>
      </c>
      <c r="J72" s="5"/>
      <c r="K72" s="5"/>
      <c r="L72" s="6">
        <v>140</v>
      </c>
      <c r="M72" s="61">
        <v>94</v>
      </c>
      <c r="N72" s="6">
        <f>12.5+(140-12.5-94)*0.7</f>
        <v>35.950000000000003</v>
      </c>
    </row>
    <row r="73" spans="1:16">
      <c r="A73" s="44" t="s">
        <v>149</v>
      </c>
      <c r="B73" s="44"/>
      <c r="C73" s="35">
        <v>44880</v>
      </c>
      <c r="D73" s="35"/>
      <c r="E73" s="35">
        <v>44575</v>
      </c>
      <c r="F73" s="40"/>
      <c r="G73" s="49"/>
      <c r="H73" s="5">
        <v>13.4</v>
      </c>
      <c r="I73" s="102"/>
      <c r="J73" s="5">
        <v>50</v>
      </c>
      <c r="K73" s="5"/>
      <c r="L73" s="6">
        <v>160</v>
      </c>
      <c r="M73" s="61">
        <f>71+9</f>
        <v>80</v>
      </c>
      <c r="N73" s="6">
        <f>(160-80)*0.7</f>
        <v>56</v>
      </c>
    </row>
    <row r="74" spans="1:16">
      <c r="A74" s="44" t="s">
        <v>146</v>
      </c>
      <c r="B74" s="44"/>
      <c r="C74" s="4">
        <v>44586</v>
      </c>
      <c r="D74" s="4"/>
      <c r="E74" s="4">
        <v>44615</v>
      </c>
      <c r="F74" s="10" t="s">
        <v>161</v>
      </c>
      <c r="G74" s="12">
        <v>12.5</v>
      </c>
      <c r="H74" s="5">
        <v>15.46</v>
      </c>
      <c r="I74" s="102">
        <f>27/30*28</f>
        <v>25.2</v>
      </c>
      <c r="J74" s="5">
        <v>110</v>
      </c>
      <c r="K74" s="5"/>
      <c r="L74" s="6">
        <v>154</v>
      </c>
      <c r="M74" s="61">
        <v>72</v>
      </c>
      <c r="N74" s="6">
        <f>12.5+(154-12.5-62)*0.7</f>
        <v>68.150000000000006</v>
      </c>
    </row>
    <row r="75" spans="1:16">
      <c r="A75" s="44" t="s">
        <v>148</v>
      </c>
      <c r="B75" s="44"/>
      <c r="C75" s="4">
        <v>44579</v>
      </c>
      <c r="D75" s="4"/>
      <c r="E75" s="4">
        <v>44594</v>
      </c>
      <c r="F75" s="40"/>
      <c r="G75" s="49"/>
      <c r="H75" s="5">
        <v>13.4</v>
      </c>
      <c r="I75" s="102">
        <f>22/30*14</f>
        <v>10.266666666666666</v>
      </c>
      <c r="J75" s="5">
        <v>30</v>
      </c>
      <c r="K75" s="5"/>
      <c r="L75" s="6">
        <v>50</v>
      </c>
      <c r="M75" s="61">
        <v>22</v>
      </c>
      <c r="N75" s="6">
        <f>(50-22)*0.7</f>
        <v>19.599999999999998</v>
      </c>
    </row>
    <row r="76" spans="1:16">
      <c r="A76" s="44" t="s">
        <v>150</v>
      </c>
      <c r="B76" s="44"/>
      <c r="C76" s="4">
        <v>44899</v>
      </c>
      <c r="D76" s="4"/>
      <c r="E76" s="4">
        <v>44607</v>
      </c>
      <c r="F76" s="12" t="s">
        <v>160</v>
      </c>
      <c r="G76" s="12">
        <v>12.5</v>
      </c>
      <c r="H76" s="5">
        <v>13.4</v>
      </c>
      <c r="I76" s="102">
        <f>71/30*61</f>
        <v>144.36666666666667</v>
      </c>
      <c r="J76" s="5">
        <v>80</v>
      </c>
      <c r="K76" s="5"/>
      <c r="L76" s="6">
        <v>120</v>
      </c>
      <c r="M76" s="61">
        <v>60</v>
      </c>
      <c r="N76" s="6">
        <f>12.5+(120-72.5)*0.7</f>
        <v>45.75</v>
      </c>
    </row>
    <row r="77" spans="1:16">
      <c r="A77" s="44" t="s">
        <v>151</v>
      </c>
      <c r="B77" s="44"/>
      <c r="C77" s="4">
        <v>44926</v>
      </c>
      <c r="D77" s="4"/>
      <c r="E77" s="4">
        <v>44649</v>
      </c>
      <c r="F77" s="40"/>
      <c r="G77" s="40"/>
      <c r="H77" s="5">
        <v>9.0299999999999994</v>
      </c>
      <c r="I77" s="102">
        <f>25*2+25/30*29</f>
        <v>74.166666666666671</v>
      </c>
      <c r="J77" s="5">
        <v>80</v>
      </c>
      <c r="K77" s="5"/>
      <c r="L77" s="6">
        <v>67.5</v>
      </c>
      <c r="M77" s="61">
        <v>25</v>
      </c>
      <c r="N77" s="6">
        <f>(67.5-25)*0.7</f>
        <v>29.749999999999996</v>
      </c>
    </row>
    <row r="78" spans="1:16">
      <c r="A78" s="44" t="s">
        <v>153</v>
      </c>
      <c r="B78" s="44"/>
      <c r="C78" s="4">
        <v>44623</v>
      </c>
      <c r="D78" s="4"/>
      <c r="E78" s="4">
        <v>44623</v>
      </c>
      <c r="F78" s="40"/>
      <c r="G78" s="40"/>
      <c r="H78" s="5">
        <v>11.03</v>
      </c>
      <c r="I78" s="102">
        <v>0</v>
      </c>
      <c r="J78" s="5">
        <v>15</v>
      </c>
      <c r="K78" s="5"/>
      <c r="L78" s="6">
        <v>30</v>
      </c>
      <c r="M78" s="61">
        <v>12</v>
      </c>
      <c r="N78" s="6">
        <f>(L78-M78)*0.7</f>
        <v>12.6</v>
      </c>
    </row>
    <row r="79" spans="1:16">
      <c r="A79" s="44" t="s">
        <v>154</v>
      </c>
      <c r="B79" s="44"/>
      <c r="C79" s="4">
        <v>44881</v>
      </c>
      <c r="D79" s="4"/>
      <c r="E79" s="4">
        <v>44628</v>
      </c>
      <c r="F79" s="40"/>
      <c r="G79" s="40"/>
      <c r="H79" s="5">
        <v>9.0299999999999994</v>
      </c>
      <c r="I79" s="102">
        <f>65*3+65/30*22</f>
        <v>242.66666666666666</v>
      </c>
      <c r="J79" s="5">
        <v>95</v>
      </c>
      <c r="K79" s="5"/>
      <c r="L79" s="6">
        <v>112</v>
      </c>
      <c r="M79" s="61">
        <v>65</v>
      </c>
      <c r="N79" s="6">
        <f>(L79-M79)*0.7</f>
        <v>32.9</v>
      </c>
    </row>
    <row r="80" spans="1:16">
      <c r="A80" s="44" t="s">
        <v>155</v>
      </c>
      <c r="B80" s="44"/>
      <c r="C80" s="4">
        <v>44490</v>
      </c>
      <c r="D80" s="4"/>
      <c r="E80" s="4">
        <v>44648</v>
      </c>
      <c r="F80" s="40"/>
      <c r="G80" s="40"/>
      <c r="H80" s="5">
        <v>13.4</v>
      </c>
      <c r="I80" s="102">
        <f>45*5+45/30*7</f>
        <v>235.5</v>
      </c>
      <c r="J80" s="5">
        <v>80</v>
      </c>
      <c r="K80" s="5"/>
      <c r="L80" s="6">
        <v>67.5</v>
      </c>
      <c r="M80" s="61">
        <v>45</v>
      </c>
      <c r="N80" s="6">
        <f>(L80-M80)*0.7</f>
        <v>15.749999999999998</v>
      </c>
    </row>
    <row r="81" spans="1:14">
      <c r="A81" s="44" t="s">
        <v>156</v>
      </c>
      <c r="B81" s="44"/>
      <c r="C81" s="4">
        <v>44489</v>
      </c>
      <c r="D81" s="4"/>
      <c r="E81" s="4">
        <v>44651</v>
      </c>
      <c r="F81" s="40"/>
      <c r="G81" s="40"/>
      <c r="H81" s="5">
        <v>15.46</v>
      </c>
      <c r="I81" s="102">
        <f>50*5+50/10</f>
        <v>255</v>
      </c>
      <c r="J81" s="5">
        <v>145</v>
      </c>
      <c r="K81" s="5"/>
      <c r="L81" s="6">
        <v>125</v>
      </c>
      <c r="M81" s="61">
        <v>50</v>
      </c>
      <c r="N81" s="6">
        <f>(L81-M81)*0.7</f>
        <v>52.5</v>
      </c>
    </row>
    <row r="82" spans="1:14">
      <c r="A82" s="44" t="s">
        <v>157</v>
      </c>
      <c r="B82" s="44"/>
      <c r="C82" s="4">
        <v>44627</v>
      </c>
      <c r="D82" s="4"/>
      <c r="E82" s="4">
        <v>44627</v>
      </c>
      <c r="F82" s="10" t="s">
        <v>161</v>
      </c>
      <c r="G82" s="12">
        <v>10</v>
      </c>
      <c r="H82" s="5">
        <v>15.46</v>
      </c>
      <c r="I82" s="102">
        <v>0</v>
      </c>
      <c r="J82" s="5">
        <v>0</v>
      </c>
      <c r="K82" s="5"/>
      <c r="L82" s="6">
        <v>100</v>
      </c>
      <c r="M82" s="61">
        <v>44</v>
      </c>
      <c r="N82" s="6">
        <f>10+(46)*0.7</f>
        <v>42.199999999999996</v>
      </c>
    </row>
    <row r="83" spans="1:14">
      <c r="A83" s="44" t="s">
        <v>158</v>
      </c>
      <c r="B83" s="44"/>
      <c r="C83" s="4">
        <v>44627</v>
      </c>
      <c r="D83" s="4"/>
      <c r="E83" s="4">
        <v>44627</v>
      </c>
      <c r="F83" s="10" t="s">
        <v>161</v>
      </c>
      <c r="G83" s="12">
        <v>12.5</v>
      </c>
      <c r="H83" s="5">
        <v>15.46</v>
      </c>
      <c r="I83" s="102">
        <v>0</v>
      </c>
      <c r="J83" s="5">
        <v>0</v>
      </c>
      <c r="K83" s="5"/>
      <c r="L83" s="6">
        <v>125</v>
      </c>
      <c r="M83" s="61">
        <v>55</v>
      </c>
      <c r="N83" s="6">
        <f>12.5+(57.5)*0.7</f>
        <v>52.75</v>
      </c>
    </row>
    <row r="84" spans="1:14">
      <c r="A84" s="44" t="s">
        <v>171</v>
      </c>
      <c r="B84" s="44"/>
      <c r="C84" s="4">
        <v>44648</v>
      </c>
      <c r="D84" s="4"/>
      <c r="E84" s="4">
        <v>44734</v>
      </c>
      <c r="F84" s="40"/>
      <c r="G84" s="5"/>
      <c r="H84" s="5">
        <v>13.72</v>
      </c>
      <c r="I84" s="102">
        <f>56/30*84</f>
        <v>156.80000000000001</v>
      </c>
      <c r="J84" s="5">
        <v>95</v>
      </c>
      <c r="K84" s="5"/>
      <c r="L84" s="6">
        <v>140</v>
      </c>
      <c r="M84" s="61">
        <v>56</v>
      </c>
      <c r="N84" s="6">
        <f>(140-56)*0.7</f>
        <v>58.8</v>
      </c>
    </row>
    <row r="85" spans="1:14">
      <c r="A85" s="44" t="s">
        <v>172</v>
      </c>
      <c r="B85" s="44"/>
      <c r="C85" s="4">
        <v>44705</v>
      </c>
      <c r="D85" s="4"/>
      <c r="E85" s="4">
        <v>44715</v>
      </c>
      <c r="F85" s="40"/>
      <c r="G85" s="5"/>
      <c r="H85" s="5">
        <v>10.039999999999999</v>
      </c>
      <c r="I85" s="102">
        <f>25/30*9</f>
        <v>7.5</v>
      </c>
      <c r="J85" s="5"/>
      <c r="K85" s="5"/>
      <c r="L85" s="6">
        <v>50</v>
      </c>
      <c r="M85" s="61">
        <v>25</v>
      </c>
      <c r="N85" s="6">
        <f>(50-25)*0.7</f>
        <v>17.5</v>
      </c>
    </row>
    <row r="86" spans="1:14">
      <c r="A86" s="44" t="s">
        <v>173</v>
      </c>
      <c r="B86" s="44"/>
      <c r="C86" s="4">
        <v>44704</v>
      </c>
      <c r="D86" s="4"/>
      <c r="E86" s="4">
        <v>44721</v>
      </c>
      <c r="F86" s="10" t="s">
        <v>161</v>
      </c>
      <c r="G86" s="56">
        <v>12.5</v>
      </c>
      <c r="H86" s="5">
        <v>13.72</v>
      </c>
      <c r="I86" s="102">
        <f>37/30*16</f>
        <v>19.733333333333334</v>
      </c>
      <c r="J86" s="5">
        <f>50+45</f>
        <v>95</v>
      </c>
      <c r="K86" s="5"/>
      <c r="L86" s="6">
        <v>110</v>
      </c>
      <c r="M86" s="61">
        <v>37</v>
      </c>
      <c r="N86" s="56">
        <f>12.5+(97.5-37)*0.7</f>
        <v>54.849999999999994</v>
      </c>
    </row>
    <row r="87" spans="1:14">
      <c r="A87" s="44" t="s">
        <v>174</v>
      </c>
      <c r="B87" s="44"/>
      <c r="C87" s="4">
        <v>44715</v>
      </c>
      <c r="D87" s="4"/>
      <c r="E87" s="4">
        <v>44820</v>
      </c>
      <c r="F87" s="10" t="s">
        <v>161</v>
      </c>
      <c r="G87" s="56">
        <v>15</v>
      </c>
      <c r="H87" s="5">
        <v>14.6</v>
      </c>
      <c r="I87" s="102">
        <f>56/30*103</f>
        <v>192.26666666666668</v>
      </c>
      <c r="J87" s="5">
        <v>50</v>
      </c>
      <c r="K87" s="5"/>
      <c r="L87" s="6">
        <f>130</f>
        <v>130</v>
      </c>
      <c r="M87" s="61">
        <v>56</v>
      </c>
      <c r="N87" s="56">
        <f>15+(115-56)*0.7</f>
        <v>56.3</v>
      </c>
    </row>
    <row r="88" spans="1:14">
      <c r="A88" s="44" t="s">
        <v>183</v>
      </c>
      <c r="B88" s="44"/>
      <c r="C88" s="4">
        <v>44749</v>
      </c>
      <c r="D88" s="4">
        <v>44830</v>
      </c>
      <c r="E88" s="4">
        <v>44858</v>
      </c>
      <c r="F88" s="40"/>
      <c r="G88" s="5"/>
      <c r="H88" s="5">
        <v>11.03</v>
      </c>
      <c r="I88" s="102">
        <v>25</v>
      </c>
      <c r="J88" s="5">
        <v>15</v>
      </c>
      <c r="K88" s="5"/>
      <c r="L88" s="6">
        <v>80</v>
      </c>
      <c r="M88" s="61">
        <v>25</v>
      </c>
      <c r="N88" s="6">
        <f>55*0.7</f>
        <v>38.5</v>
      </c>
    </row>
    <row r="89" spans="1:14">
      <c r="A89" s="44" t="s">
        <v>184</v>
      </c>
      <c r="B89" s="44"/>
      <c r="C89" s="4">
        <v>44775</v>
      </c>
      <c r="D89" s="4">
        <v>44810</v>
      </c>
      <c r="E89" s="4">
        <v>44848</v>
      </c>
      <c r="F89" s="40"/>
      <c r="G89" s="5"/>
      <c r="H89" s="5">
        <v>23.38</v>
      </c>
      <c r="I89" s="102">
        <f>100/30*38</f>
        <v>126.66666666666667</v>
      </c>
      <c r="J89" s="5">
        <v>155</v>
      </c>
      <c r="K89" s="5"/>
      <c r="L89" s="6">
        <v>220</v>
      </c>
      <c r="M89" s="61">
        <v>100</v>
      </c>
      <c r="N89" s="6">
        <v>90.75</v>
      </c>
    </row>
    <row r="90" spans="1:14">
      <c r="A90" s="44" t="s">
        <v>185</v>
      </c>
      <c r="B90" s="44"/>
      <c r="C90" s="4">
        <v>44830</v>
      </c>
      <c r="D90" s="4">
        <v>44852</v>
      </c>
      <c r="E90" s="4">
        <v>44858</v>
      </c>
      <c r="F90" s="10" t="s">
        <v>161</v>
      </c>
      <c r="G90" s="12">
        <v>15</v>
      </c>
      <c r="H90" s="5">
        <v>23.38</v>
      </c>
      <c r="I90" s="102">
        <f>54.5/30*6</f>
        <v>10.9</v>
      </c>
      <c r="J90" s="5">
        <v>95</v>
      </c>
      <c r="K90" s="5"/>
      <c r="L90" s="6">
        <v>160</v>
      </c>
      <c r="M90" s="61">
        <v>64.5</v>
      </c>
      <c r="N90" s="6">
        <f>15+(145-64.5)*0.7</f>
        <v>71.349999999999994</v>
      </c>
    </row>
    <row r="91" spans="1:14">
      <c r="A91" s="44" t="s">
        <v>190</v>
      </c>
      <c r="B91" s="44"/>
      <c r="C91" s="4"/>
      <c r="D91" s="4">
        <v>44879</v>
      </c>
      <c r="E91" s="35">
        <v>44887</v>
      </c>
      <c r="F91" s="44" t="s">
        <v>161</v>
      </c>
      <c r="G91" s="56">
        <v>10</v>
      </c>
      <c r="H91" s="5">
        <v>14.6</v>
      </c>
      <c r="I91" s="102">
        <f>34/30*8</f>
        <v>9.0666666666666664</v>
      </c>
      <c r="J91" s="5">
        <v>45</v>
      </c>
      <c r="K91" s="5"/>
      <c r="L91" s="6">
        <v>90</v>
      </c>
      <c r="M91" s="61">
        <v>34</v>
      </c>
      <c r="N91" s="56">
        <f>10+(80-34)*0.7</f>
        <v>42.199999999999996</v>
      </c>
    </row>
    <row r="92" spans="1:14">
      <c r="A92" s="44" t="s">
        <v>193</v>
      </c>
      <c r="B92" s="44"/>
      <c r="C92" s="4">
        <v>44872</v>
      </c>
      <c r="D92" s="4">
        <v>44879</v>
      </c>
      <c r="E92" s="35">
        <v>44882</v>
      </c>
      <c r="F92" s="40"/>
      <c r="G92" s="5"/>
      <c r="H92" s="5">
        <v>10.039999999999999</v>
      </c>
      <c r="I92" s="102">
        <f>25/30*3</f>
        <v>2.5</v>
      </c>
      <c r="J92" s="5"/>
      <c r="K92" s="5"/>
      <c r="L92" s="6">
        <v>40</v>
      </c>
      <c r="M92" s="61">
        <v>25</v>
      </c>
      <c r="N92" s="6">
        <f>(L92-M92)*0.7</f>
        <v>10.5</v>
      </c>
    </row>
    <row r="93" spans="1:14">
      <c r="A93" s="44" t="s">
        <v>213</v>
      </c>
      <c r="B93" s="44"/>
      <c r="C93" s="4">
        <v>44894</v>
      </c>
      <c r="D93" s="4">
        <v>44908</v>
      </c>
      <c r="E93" s="35">
        <v>44944</v>
      </c>
      <c r="F93" s="40" t="s">
        <v>161</v>
      </c>
      <c r="G93" s="5">
        <v>15</v>
      </c>
      <c r="H93" s="5">
        <v>31.72</v>
      </c>
      <c r="I93" s="102">
        <f>50/30*35</f>
        <v>58.333333333333336</v>
      </c>
      <c r="J93" s="5">
        <f>60+50</f>
        <v>110</v>
      </c>
      <c r="K93" s="5"/>
      <c r="L93" s="6">
        <v>130</v>
      </c>
      <c r="M93" s="61">
        <f>19+2+3.5*2+11*2</f>
        <v>50</v>
      </c>
      <c r="N93" s="94">
        <f>15+(L93-M93-15)*0.7</f>
        <v>60.5</v>
      </c>
    </row>
    <row r="94" spans="1:14">
      <c r="A94" s="44" t="s">
        <v>227</v>
      </c>
      <c r="B94" s="44"/>
      <c r="C94" s="4">
        <v>44949</v>
      </c>
      <c r="D94" s="4">
        <v>44953</v>
      </c>
      <c r="E94" s="35">
        <v>44966</v>
      </c>
      <c r="F94" s="40" t="s">
        <v>160</v>
      </c>
      <c r="G94" s="5">
        <v>15</v>
      </c>
      <c r="H94" s="5">
        <v>16.38</v>
      </c>
      <c r="I94" s="102">
        <f>61.5/30*12</f>
        <v>24.599999999999998</v>
      </c>
      <c r="J94" s="5">
        <f>50+60</f>
        <v>110</v>
      </c>
      <c r="K94" s="5"/>
      <c r="L94" s="6">
        <v>160</v>
      </c>
      <c r="M94" s="65">
        <f>32.5+7+22</f>
        <v>61.5</v>
      </c>
      <c r="N94" s="59">
        <f>15+(L94-M94-15)*0.7</f>
        <v>73.449999999999989</v>
      </c>
    </row>
    <row r="95" spans="1:14">
      <c r="A95" s="44" t="s">
        <v>228</v>
      </c>
      <c r="B95" s="44"/>
      <c r="C95" s="4">
        <v>44957</v>
      </c>
      <c r="D95" s="4">
        <v>44957</v>
      </c>
      <c r="E95" s="35">
        <v>44977</v>
      </c>
      <c r="F95" s="40"/>
      <c r="G95" s="5"/>
      <c r="H95" s="5">
        <v>20.61</v>
      </c>
      <c r="I95" s="102">
        <f>66/30*20</f>
        <v>44</v>
      </c>
      <c r="J95" s="5">
        <v>90</v>
      </c>
      <c r="K95" s="5"/>
      <c r="L95" s="6">
        <v>155</v>
      </c>
      <c r="M95" s="65">
        <v>54</v>
      </c>
      <c r="N95" s="59">
        <f>(L95-M95)*0.7</f>
        <v>70.699999999999989</v>
      </c>
    </row>
    <row r="96" spans="1:14">
      <c r="A96" s="44" t="s">
        <v>255</v>
      </c>
      <c r="B96" s="44"/>
      <c r="C96" s="35">
        <v>44691</v>
      </c>
      <c r="D96" s="35">
        <v>44994</v>
      </c>
      <c r="E96" s="4">
        <v>44994</v>
      </c>
      <c r="F96" s="40"/>
      <c r="G96" s="40"/>
      <c r="H96" s="5">
        <v>11.03</v>
      </c>
      <c r="I96" s="102">
        <f>25*14</f>
        <v>350</v>
      </c>
      <c r="J96" s="40">
        <f>30+50</f>
        <v>80</v>
      </c>
      <c r="K96" s="40"/>
      <c r="L96" s="6">
        <v>90</v>
      </c>
      <c r="M96" s="6">
        <v>25</v>
      </c>
      <c r="N96" s="59">
        <v>48.5</v>
      </c>
    </row>
    <row r="97" spans="1:16">
      <c r="A97" s="44" t="s">
        <v>187</v>
      </c>
      <c r="B97" s="44"/>
      <c r="C97" s="35"/>
      <c r="D97" s="35">
        <v>44991</v>
      </c>
      <c r="E97" s="4">
        <v>44991</v>
      </c>
      <c r="F97" s="40"/>
      <c r="G97" s="40"/>
      <c r="H97" s="5">
        <v>13.31</v>
      </c>
      <c r="I97" s="102"/>
      <c r="J97" s="40">
        <v>45</v>
      </c>
      <c r="K97" s="40"/>
      <c r="L97" s="6">
        <v>80</v>
      </c>
      <c r="M97" s="6">
        <v>27</v>
      </c>
      <c r="N97" s="59">
        <f>(L97-M97)*0.7</f>
        <v>37.099999999999994</v>
      </c>
    </row>
    <row r="98" spans="1:16">
      <c r="A98" s="76" t="s">
        <v>276</v>
      </c>
      <c r="B98" s="44"/>
      <c r="C98" s="35">
        <v>45061</v>
      </c>
      <c r="D98" s="35">
        <v>45070</v>
      </c>
      <c r="E98" s="4"/>
      <c r="F98" s="40"/>
      <c r="G98" s="40"/>
      <c r="H98" s="5">
        <v>11.48</v>
      </c>
      <c r="I98" s="102">
        <f>21/30*9</f>
        <v>6.3</v>
      </c>
      <c r="J98" s="40"/>
      <c r="K98" s="40"/>
      <c r="L98" s="17">
        <f>50</f>
        <v>50</v>
      </c>
      <c r="M98" s="18">
        <v>21</v>
      </c>
      <c r="N98" s="70">
        <f>(50-21)*0.7</f>
        <v>20.299999999999997</v>
      </c>
    </row>
    <row r="99" spans="1:16">
      <c r="A99" s="76" t="s">
        <v>279</v>
      </c>
      <c r="B99" s="44"/>
      <c r="C99" s="35">
        <v>45065</v>
      </c>
      <c r="D99" s="35">
        <v>45070</v>
      </c>
      <c r="E99" s="4"/>
      <c r="F99" s="40"/>
      <c r="G99" s="40"/>
      <c r="H99" s="5">
        <v>11.48</v>
      </c>
      <c r="I99" s="102">
        <f>21/30*5</f>
        <v>3.5</v>
      </c>
      <c r="J99" s="40"/>
      <c r="K99" s="40"/>
      <c r="L99" s="17">
        <f>50</f>
        <v>50</v>
      </c>
      <c r="M99" s="18">
        <v>21</v>
      </c>
      <c r="N99" s="70">
        <f>(50-21)*0.7</f>
        <v>20.299999999999997</v>
      </c>
    </row>
    <row r="100" spans="1:16">
      <c r="A100" s="76" t="s">
        <v>278</v>
      </c>
      <c r="B100" s="52"/>
      <c r="C100" s="57">
        <v>44973</v>
      </c>
      <c r="D100" s="57">
        <v>45070</v>
      </c>
      <c r="E100" s="24"/>
      <c r="F100" s="48"/>
      <c r="G100" s="48"/>
      <c r="H100" s="25">
        <v>11.48</v>
      </c>
      <c r="I100" s="103">
        <f>21/30*98</f>
        <v>68.599999999999994</v>
      </c>
      <c r="J100" s="48"/>
      <c r="K100" s="48"/>
      <c r="L100" s="17">
        <v>50</v>
      </c>
      <c r="M100" s="26">
        <v>21</v>
      </c>
      <c r="N100" s="85">
        <f>(50-21)*0.7</f>
        <v>20.299999999999997</v>
      </c>
    </row>
    <row r="101" spans="1:16">
      <c r="A101" s="44" t="s">
        <v>289</v>
      </c>
      <c r="B101" s="44"/>
      <c r="C101" s="35">
        <v>45110</v>
      </c>
      <c r="D101" s="35">
        <v>45127</v>
      </c>
      <c r="E101" s="4">
        <v>45110</v>
      </c>
      <c r="F101" s="40"/>
      <c r="G101" s="40"/>
      <c r="H101" s="5">
        <v>13.31</v>
      </c>
      <c r="I101" s="102">
        <f>27/30*17</f>
        <v>15.3</v>
      </c>
      <c r="J101" s="40">
        <v>45</v>
      </c>
      <c r="K101" s="40"/>
      <c r="L101" s="6">
        <v>75</v>
      </c>
      <c r="M101" s="6">
        <v>27</v>
      </c>
      <c r="N101" s="59">
        <f>(L101-M101)*0.7</f>
        <v>33.599999999999994</v>
      </c>
    </row>
    <row r="102" spans="1:16">
      <c r="A102" s="44" t="s">
        <v>292</v>
      </c>
      <c r="B102" s="44"/>
      <c r="C102" s="35">
        <v>45138</v>
      </c>
      <c r="D102" s="35">
        <v>45139</v>
      </c>
      <c r="E102" s="35">
        <v>45162</v>
      </c>
      <c r="F102" s="40"/>
      <c r="G102" s="40"/>
      <c r="H102" s="5">
        <v>12.48</v>
      </c>
      <c r="I102" s="102">
        <f>27/30*23</f>
        <v>20.7</v>
      </c>
      <c r="J102" s="40">
        <v>45</v>
      </c>
      <c r="K102" s="40"/>
      <c r="L102" s="6">
        <v>90</v>
      </c>
      <c r="M102" s="6">
        <v>27</v>
      </c>
      <c r="N102" s="59">
        <f>(L102-M102)*0.7</f>
        <v>44.099999999999994</v>
      </c>
    </row>
    <row r="103" spans="1:16">
      <c r="A103" s="44" t="s">
        <v>293</v>
      </c>
      <c r="B103" s="44"/>
      <c r="C103" s="35">
        <v>45086</v>
      </c>
      <c r="D103" s="35">
        <v>45089</v>
      </c>
      <c r="E103" s="4">
        <v>45103</v>
      </c>
      <c r="F103" s="40"/>
      <c r="G103" s="40"/>
      <c r="H103" s="5">
        <v>11.03</v>
      </c>
      <c r="I103" s="102">
        <f>21/30*14</f>
        <v>9.7999999999999989</v>
      </c>
      <c r="J103" s="40"/>
      <c r="K103" s="40"/>
      <c r="L103" s="6">
        <v>50</v>
      </c>
      <c r="M103" s="6">
        <v>21</v>
      </c>
      <c r="N103" s="59">
        <f>(L103-M103)*0.7</f>
        <v>20.299999999999997</v>
      </c>
    </row>
    <row r="104" spans="1:16">
      <c r="A104" s="44" t="s">
        <v>295</v>
      </c>
      <c r="B104" s="44"/>
      <c r="C104" s="35">
        <v>45228</v>
      </c>
      <c r="D104" s="35">
        <v>45203</v>
      </c>
      <c r="E104" s="4"/>
      <c r="F104" s="40"/>
      <c r="G104" s="40"/>
      <c r="H104" s="5">
        <v>13.31</v>
      </c>
      <c r="I104" s="102">
        <f>27/30*5</f>
        <v>4.5</v>
      </c>
      <c r="J104" s="40">
        <v>45</v>
      </c>
      <c r="K104" s="40"/>
      <c r="L104" s="6">
        <v>80</v>
      </c>
      <c r="M104" s="6">
        <v>27</v>
      </c>
      <c r="N104" s="59">
        <f>(L104-M104)*0.7</f>
        <v>37.099999999999994</v>
      </c>
    </row>
    <row r="105" spans="1:16">
      <c r="A105" s="44" t="s">
        <v>320</v>
      </c>
      <c r="B105" s="44"/>
      <c r="C105" s="35">
        <v>45177</v>
      </c>
      <c r="D105" s="35">
        <v>45196</v>
      </c>
      <c r="E105" s="4"/>
      <c r="F105" s="40"/>
      <c r="G105" s="40"/>
      <c r="H105" s="5">
        <v>10.44</v>
      </c>
      <c r="I105" s="102">
        <f>38/30*21</f>
        <v>26.599999999999998</v>
      </c>
      <c r="J105" s="40"/>
      <c r="K105" s="40"/>
      <c r="L105" s="6">
        <v>69</v>
      </c>
      <c r="M105" s="6">
        <v>38</v>
      </c>
      <c r="N105" s="59">
        <f>(69-38)*0.7</f>
        <v>21.7</v>
      </c>
    </row>
    <row r="106" spans="1:16">
      <c r="A106" s="44" t="s">
        <v>325</v>
      </c>
      <c r="B106" s="44"/>
      <c r="C106" s="35"/>
      <c r="D106" s="35">
        <v>45223</v>
      </c>
      <c r="E106" s="4">
        <v>45239</v>
      </c>
      <c r="F106" s="40"/>
      <c r="G106" s="40"/>
      <c r="H106" s="5">
        <v>40</v>
      </c>
      <c r="I106" s="102">
        <f>43/30*15</f>
        <v>21.5</v>
      </c>
      <c r="J106" s="40"/>
      <c r="K106" s="40"/>
      <c r="L106" s="6">
        <v>69</v>
      </c>
      <c r="M106" s="6">
        <v>43</v>
      </c>
      <c r="N106" s="94">
        <f>(69-43)*0.7</f>
        <v>18.2</v>
      </c>
      <c r="O106" s="72" t="s">
        <v>329</v>
      </c>
      <c r="P106" s="72">
        <v>12.74</v>
      </c>
    </row>
    <row r="107" spans="1:16">
      <c r="A107" s="44" t="s">
        <v>326</v>
      </c>
      <c r="B107" s="44"/>
      <c r="C107" s="35"/>
      <c r="D107" s="35">
        <v>45188</v>
      </c>
      <c r="E107" s="4">
        <v>45209</v>
      </c>
      <c r="F107" s="40"/>
      <c r="G107" s="40"/>
      <c r="H107" s="5">
        <v>11.48</v>
      </c>
      <c r="I107" s="102"/>
      <c r="J107" s="40"/>
      <c r="K107" s="40"/>
      <c r="L107" s="6">
        <v>59</v>
      </c>
      <c r="M107" s="6">
        <v>38</v>
      </c>
      <c r="N107" s="59">
        <f>(L107-M107)*0.7</f>
        <v>14.7</v>
      </c>
    </row>
    <row r="108" spans="1:16">
      <c r="A108" s="44" t="s">
        <v>108</v>
      </c>
      <c r="B108" s="44"/>
      <c r="C108" s="35"/>
      <c r="D108" s="35">
        <v>45231</v>
      </c>
      <c r="E108" s="4">
        <v>45231</v>
      </c>
      <c r="F108" s="40"/>
      <c r="G108" s="40"/>
      <c r="H108" s="5"/>
      <c r="I108" s="102"/>
      <c r="J108" s="40"/>
      <c r="K108" s="40"/>
      <c r="L108" s="6">
        <v>69</v>
      </c>
      <c r="M108" s="6">
        <v>43</v>
      </c>
      <c r="N108" s="59">
        <f>(L108-M108)*0.7</f>
        <v>18.2</v>
      </c>
    </row>
    <row r="109" spans="1:16">
      <c r="A109" s="44" t="s">
        <v>327</v>
      </c>
      <c r="B109" s="44"/>
      <c r="C109" s="35"/>
      <c r="D109" s="35"/>
      <c r="E109" s="4">
        <v>45127</v>
      </c>
      <c r="F109" s="40"/>
      <c r="G109" s="40"/>
      <c r="H109" s="5">
        <v>11.48</v>
      </c>
      <c r="I109" s="102"/>
      <c r="J109" s="40"/>
      <c r="K109" s="40"/>
      <c r="L109" s="6">
        <v>25</v>
      </c>
      <c r="M109" s="6">
        <v>9</v>
      </c>
      <c r="N109" s="59">
        <f>(L109-M109)*0.7</f>
        <v>11.2</v>
      </c>
    </row>
    <row r="110" spans="1:16">
      <c r="A110" s="44" t="s">
        <v>336</v>
      </c>
      <c r="B110" s="44"/>
      <c r="C110" s="35"/>
      <c r="D110" s="35">
        <v>45278</v>
      </c>
      <c r="E110" s="4">
        <v>45278</v>
      </c>
      <c r="F110" s="40"/>
      <c r="G110" s="40"/>
      <c r="H110" s="5"/>
      <c r="I110" s="102"/>
      <c r="J110" s="40"/>
      <c r="K110" s="40"/>
      <c r="L110" s="6">
        <v>69</v>
      </c>
      <c r="M110" s="6">
        <v>43</v>
      </c>
      <c r="N110" s="59">
        <f>(69-43)*0.7/30*42</f>
        <v>25.48</v>
      </c>
    </row>
    <row r="111" spans="1:16">
      <c r="A111" s="44" t="s">
        <v>337</v>
      </c>
      <c r="B111" s="44"/>
      <c r="C111" s="35">
        <v>45342</v>
      </c>
      <c r="D111" s="35">
        <v>44977</v>
      </c>
      <c r="E111" s="4">
        <v>45342</v>
      </c>
      <c r="F111" s="40"/>
      <c r="G111" s="40"/>
      <c r="H111" s="5">
        <v>13.78</v>
      </c>
      <c r="I111" s="102"/>
      <c r="J111" s="40">
        <f>45+50</f>
        <v>95</v>
      </c>
      <c r="K111" s="40"/>
      <c r="L111" s="6">
        <v>100</v>
      </c>
      <c r="M111" s="6">
        <v>38.5</v>
      </c>
      <c r="N111" s="59">
        <f t="shared" ref="N111:N132" si="2">(L111-M111)*0.7</f>
        <v>43.05</v>
      </c>
    </row>
    <row r="112" spans="1:16">
      <c r="A112" s="44" t="s">
        <v>338</v>
      </c>
      <c r="B112" s="44"/>
      <c r="C112" s="35">
        <v>45271</v>
      </c>
      <c r="D112" s="35"/>
      <c r="E112" s="4">
        <v>45301</v>
      </c>
      <c r="F112" s="40"/>
      <c r="G112" s="40"/>
      <c r="H112" s="5">
        <v>14.26</v>
      </c>
      <c r="I112" s="102">
        <f>25/30*29</f>
        <v>24.166666666666668</v>
      </c>
      <c r="J112" s="40">
        <f>30+50</f>
        <v>80</v>
      </c>
      <c r="K112" s="40"/>
      <c r="L112" s="6">
        <v>80</v>
      </c>
      <c r="M112" s="6">
        <v>29</v>
      </c>
      <c r="N112" s="59">
        <f t="shared" si="2"/>
        <v>35.699999999999996</v>
      </c>
      <c r="O112" t="s">
        <v>339</v>
      </c>
    </row>
    <row r="113" spans="1:14">
      <c r="A113" s="44" t="s">
        <v>333</v>
      </c>
      <c r="B113" s="44"/>
      <c r="C113" s="35"/>
      <c r="D113" s="35"/>
      <c r="E113" s="4">
        <v>45336</v>
      </c>
      <c r="F113" s="40"/>
      <c r="G113" s="40"/>
      <c r="H113" s="5">
        <v>10</v>
      </c>
      <c r="I113" s="102">
        <v>0</v>
      </c>
      <c r="J113" s="40">
        <v>120</v>
      </c>
      <c r="K113" s="40"/>
      <c r="L113" s="6">
        <v>160</v>
      </c>
      <c r="M113" s="6">
        <v>72</v>
      </c>
      <c r="N113" s="59">
        <f t="shared" si="2"/>
        <v>61.599999999999994</v>
      </c>
    </row>
    <row r="114" spans="1:14">
      <c r="A114" s="44" t="s">
        <v>343</v>
      </c>
      <c r="B114" s="44"/>
      <c r="C114" s="35"/>
      <c r="D114" s="35"/>
      <c r="E114" s="4">
        <v>45336</v>
      </c>
      <c r="F114" s="40"/>
      <c r="G114" s="40"/>
      <c r="H114" s="5">
        <v>10.92</v>
      </c>
      <c r="I114" s="102"/>
      <c r="J114" s="40"/>
      <c r="K114" s="40"/>
      <c r="L114" s="6">
        <v>59</v>
      </c>
      <c r="M114" s="6">
        <v>38</v>
      </c>
      <c r="N114" s="59">
        <f t="shared" si="2"/>
        <v>14.7</v>
      </c>
    </row>
    <row r="115" spans="1:14">
      <c r="A115" s="44" t="s">
        <v>381</v>
      </c>
      <c r="B115" s="44"/>
      <c r="C115" s="35"/>
      <c r="D115" s="35">
        <v>45323</v>
      </c>
      <c r="E115" s="4">
        <v>45323</v>
      </c>
      <c r="F115" s="40"/>
      <c r="G115" s="40"/>
      <c r="H115" s="5">
        <v>10.92</v>
      </c>
      <c r="I115" s="102"/>
      <c r="J115" s="40"/>
      <c r="K115" s="40"/>
      <c r="L115" s="6">
        <v>59</v>
      </c>
      <c r="M115" s="6">
        <v>38</v>
      </c>
      <c r="N115" s="59">
        <f t="shared" si="2"/>
        <v>14.7</v>
      </c>
    </row>
    <row r="116" spans="1:14">
      <c r="A116" s="44" t="s">
        <v>345</v>
      </c>
      <c r="B116" s="44"/>
      <c r="C116" s="35"/>
      <c r="D116" s="35"/>
      <c r="E116" s="4">
        <v>45345</v>
      </c>
      <c r="F116" s="40"/>
      <c r="G116" s="40"/>
      <c r="H116" s="5">
        <v>24.2</v>
      </c>
      <c r="I116" s="102"/>
      <c r="J116" s="40">
        <v>45</v>
      </c>
      <c r="K116" s="40"/>
      <c r="L116" s="6">
        <v>90</v>
      </c>
      <c r="M116" s="6">
        <f>7+9</f>
        <v>16</v>
      </c>
      <c r="N116" s="59">
        <f t="shared" si="2"/>
        <v>51.8</v>
      </c>
    </row>
    <row r="117" spans="1:14">
      <c r="A117" s="44" t="s">
        <v>346</v>
      </c>
      <c r="B117" s="44"/>
      <c r="C117" s="35"/>
      <c r="D117" s="35"/>
      <c r="E117" s="4">
        <v>45334</v>
      </c>
      <c r="F117" s="40"/>
      <c r="G117" s="40"/>
      <c r="H117" s="5">
        <v>12.01</v>
      </c>
      <c r="I117" s="102"/>
      <c r="J117" s="40">
        <v>15</v>
      </c>
      <c r="K117" s="40"/>
      <c r="L117" s="6">
        <v>20</v>
      </c>
      <c r="M117" s="6">
        <v>9</v>
      </c>
      <c r="N117" s="70">
        <f t="shared" si="2"/>
        <v>7.6999999999999993</v>
      </c>
    </row>
    <row r="118" spans="1:14">
      <c r="A118" s="44" t="s">
        <v>361</v>
      </c>
      <c r="B118" s="44"/>
      <c r="C118" s="35"/>
      <c r="D118" s="35">
        <v>45366</v>
      </c>
      <c r="E118" s="4">
        <v>45385</v>
      </c>
      <c r="F118" s="40"/>
      <c r="G118" s="40"/>
      <c r="H118" s="5"/>
      <c r="I118" s="102">
        <f>69/30*18</f>
        <v>41.4</v>
      </c>
      <c r="J118" s="40"/>
      <c r="K118" s="40"/>
      <c r="L118" s="6">
        <v>69</v>
      </c>
      <c r="M118" s="6">
        <v>43</v>
      </c>
      <c r="N118" s="70">
        <f t="shared" si="2"/>
        <v>18.2</v>
      </c>
    </row>
    <row r="119" spans="1:14">
      <c r="A119" s="44" t="s">
        <v>365</v>
      </c>
      <c r="B119" s="44"/>
      <c r="C119" s="35"/>
      <c r="D119" s="35">
        <v>45450</v>
      </c>
      <c r="E119" s="4">
        <v>45456</v>
      </c>
      <c r="F119" s="40"/>
      <c r="G119" s="40"/>
      <c r="H119" s="5"/>
      <c r="I119" s="102">
        <f>47/30*5</f>
        <v>7.833333333333333</v>
      </c>
      <c r="J119" s="40"/>
      <c r="K119" s="40"/>
      <c r="L119" s="6">
        <v>69</v>
      </c>
      <c r="M119" s="6">
        <v>47</v>
      </c>
      <c r="N119" s="59">
        <f t="shared" si="2"/>
        <v>15.399999999999999</v>
      </c>
    </row>
    <row r="120" spans="1:14">
      <c r="A120" s="44" t="s">
        <v>358</v>
      </c>
      <c r="B120" s="44"/>
      <c r="C120" s="35"/>
      <c r="D120" s="35">
        <v>45468</v>
      </c>
      <c r="E120" s="4">
        <v>45468</v>
      </c>
      <c r="F120" s="40"/>
      <c r="G120" s="40"/>
      <c r="H120" s="5">
        <v>12.01</v>
      </c>
      <c r="I120" s="102"/>
      <c r="J120" s="40"/>
      <c r="K120" s="40"/>
      <c r="L120" s="6">
        <v>59</v>
      </c>
      <c r="M120" s="6">
        <v>38</v>
      </c>
      <c r="N120" s="59">
        <f t="shared" si="2"/>
        <v>14.7</v>
      </c>
    </row>
    <row r="121" spans="1:14">
      <c r="A121" s="44" t="s">
        <v>218</v>
      </c>
      <c r="B121" s="44"/>
      <c r="C121" s="35"/>
      <c r="D121" s="35">
        <v>45456</v>
      </c>
      <c r="E121" s="4">
        <v>45456</v>
      </c>
      <c r="F121" s="40"/>
      <c r="G121" s="40"/>
      <c r="H121" s="5">
        <v>10</v>
      </c>
      <c r="I121" s="102"/>
      <c r="J121" s="40">
        <v>45</v>
      </c>
      <c r="K121" s="40"/>
      <c r="L121" s="6">
        <v>80</v>
      </c>
      <c r="M121" s="6">
        <v>27</v>
      </c>
      <c r="N121" s="59">
        <f t="shared" si="2"/>
        <v>37.099999999999994</v>
      </c>
    </row>
    <row r="122" spans="1:14">
      <c r="A122" s="44" t="s">
        <v>366</v>
      </c>
      <c r="B122" s="44"/>
      <c r="C122" s="35"/>
      <c r="D122" s="35">
        <v>45454</v>
      </c>
      <c r="E122" s="4"/>
      <c r="F122" s="40"/>
      <c r="G122" s="40"/>
      <c r="H122" s="5"/>
      <c r="I122" s="102"/>
      <c r="J122" s="40"/>
      <c r="K122" s="40"/>
      <c r="L122" s="6">
        <v>59</v>
      </c>
      <c r="M122" s="6">
        <v>38</v>
      </c>
      <c r="N122" s="59">
        <f t="shared" si="2"/>
        <v>14.7</v>
      </c>
    </row>
    <row r="123" spans="1:14">
      <c r="A123" s="44" t="s">
        <v>64</v>
      </c>
      <c r="B123" s="44"/>
      <c r="C123" s="35"/>
      <c r="D123" s="35">
        <v>45469</v>
      </c>
      <c r="E123" s="4">
        <v>45469</v>
      </c>
      <c r="F123" s="40"/>
      <c r="G123" s="40"/>
      <c r="H123" s="5"/>
      <c r="I123" s="102"/>
      <c r="J123" s="40"/>
      <c r="K123" s="40"/>
      <c r="L123" s="6">
        <v>100</v>
      </c>
      <c r="M123" s="18">
        <v>5</v>
      </c>
      <c r="N123" s="59">
        <f t="shared" si="2"/>
        <v>66.5</v>
      </c>
    </row>
    <row r="124" spans="1:14">
      <c r="A124" s="44" t="s">
        <v>369</v>
      </c>
      <c r="B124" s="44"/>
      <c r="C124" s="35"/>
      <c r="D124" s="35">
        <v>45464</v>
      </c>
      <c r="E124" s="4">
        <v>41811</v>
      </c>
      <c r="F124" s="40"/>
      <c r="G124" s="40"/>
      <c r="H124" s="5">
        <v>24.98</v>
      </c>
      <c r="I124" s="102"/>
      <c r="J124" s="40">
        <v>15</v>
      </c>
      <c r="K124" s="40"/>
      <c r="L124" s="6">
        <v>80</v>
      </c>
      <c r="M124" s="6">
        <v>42.5</v>
      </c>
      <c r="N124" s="59">
        <f t="shared" si="2"/>
        <v>26.25</v>
      </c>
    </row>
    <row r="125" spans="1:14">
      <c r="A125" s="44" t="s">
        <v>370</v>
      </c>
      <c r="B125" s="44"/>
      <c r="C125" s="35"/>
      <c r="D125" s="35">
        <v>45444</v>
      </c>
      <c r="E125" s="4">
        <v>41791</v>
      </c>
      <c r="F125" s="40"/>
      <c r="G125" s="40"/>
      <c r="H125" s="5">
        <v>12.98</v>
      </c>
      <c r="I125" s="102"/>
      <c r="J125" s="40">
        <v>30</v>
      </c>
      <c r="K125" s="40"/>
      <c r="L125" s="6">
        <v>65</v>
      </c>
      <c r="M125" s="6">
        <v>18</v>
      </c>
      <c r="N125" s="59">
        <f t="shared" si="2"/>
        <v>32.9</v>
      </c>
    </row>
    <row r="126" spans="1:14">
      <c r="A126" s="44" t="s">
        <v>375</v>
      </c>
      <c r="B126" s="44"/>
      <c r="C126" s="35"/>
      <c r="D126" s="35">
        <v>45471</v>
      </c>
      <c r="E126" s="35">
        <v>45471</v>
      </c>
      <c r="F126" s="40"/>
      <c r="G126" s="40"/>
      <c r="H126" s="5">
        <f>10+12.01</f>
        <v>22.009999999999998</v>
      </c>
      <c r="I126" s="102"/>
      <c r="J126" s="40">
        <v>30</v>
      </c>
      <c r="K126" s="40"/>
      <c r="L126" s="6">
        <v>90</v>
      </c>
      <c r="M126" s="18">
        <f>38.5+1+18</f>
        <v>57.5</v>
      </c>
      <c r="N126" s="70">
        <f t="shared" si="2"/>
        <v>22.75</v>
      </c>
    </row>
    <row r="127" spans="1:14">
      <c r="A127" s="44" t="s">
        <v>83</v>
      </c>
      <c r="B127" s="44"/>
      <c r="C127" s="35"/>
      <c r="D127" s="35">
        <v>45482</v>
      </c>
      <c r="E127" s="35">
        <v>45482</v>
      </c>
      <c r="F127" s="40"/>
      <c r="G127" s="40"/>
      <c r="H127" s="5"/>
      <c r="I127" s="102"/>
      <c r="J127" s="40"/>
      <c r="K127" s="40"/>
      <c r="L127" s="6">
        <v>69</v>
      </c>
      <c r="M127" s="18">
        <v>43</v>
      </c>
      <c r="N127" s="70">
        <f t="shared" si="2"/>
        <v>18.2</v>
      </c>
    </row>
    <row r="128" spans="1:14">
      <c r="A128" s="44" t="s">
        <v>383</v>
      </c>
      <c r="B128" s="44"/>
      <c r="C128" s="35"/>
      <c r="D128" s="35">
        <v>45434</v>
      </c>
      <c r="E128" s="35">
        <v>45513</v>
      </c>
      <c r="F128" s="40"/>
      <c r="G128" s="40"/>
      <c r="H128" s="5">
        <v>14.58</v>
      </c>
      <c r="I128" s="102"/>
      <c r="J128" s="40"/>
      <c r="K128" s="40"/>
      <c r="L128" s="6">
        <v>69</v>
      </c>
      <c r="M128" s="18">
        <v>43</v>
      </c>
      <c r="N128" s="70">
        <f t="shared" si="2"/>
        <v>18.2</v>
      </c>
    </row>
    <row r="129" spans="1:16">
      <c r="A129" s="44" t="s">
        <v>384</v>
      </c>
      <c r="B129" s="44"/>
      <c r="C129" s="35"/>
      <c r="D129" s="35"/>
      <c r="E129" s="35">
        <v>45513</v>
      </c>
      <c r="F129" s="40"/>
      <c r="G129" s="40"/>
      <c r="H129" s="5"/>
      <c r="I129" s="102"/>
      <c r="J129" s="40">
        <v>60</v>
      </c>
      <c r="K129" s="40"/>
      <c r="L129" s="6">
        <v>105</v>
      </c>
      <c r="M129" s="6">
        <v>36</v>
      </c>
      <c r="N129" s="70">
        <f t="shared" si="2"/>
        <v>48.3</v>
      </c>
    </row>
    <row r="130" spans="1:16">
      <c r="A130" s="44" t="s">
        <v>389</v>
      </c>
      <c r="B130" s="44"/>
      <c r="C130" s="35"/>
      <c r="D130" s="35">
        <v>45574</v>
      </c>
      <c r="E130" s="35">
        <v>45574</v>
      </c>
      <c r="F130" s="40"/>
      <c r="G130" s="40"/>
      <c r="H130" s="5"/>
      <c r="I130" s="102"/>
      <c r="J130" s="40"/>
      <c r="K130" s="40"/>
      <c r="L130" s="6">
        <v>10</v>
      </c>
      <c r="M130" s="6">
        <v>1</v>
      </c>
      <c r="N130" s="59">
        <f t="shared" si="2"/>
        <v>6.3</v>
      </c>
    </row>
    <row r="131" spans="1:16">
      <c r="A131" s="44" t="s">
        <v>397</v>
      </c>
      <c r="B131" s="44"/>
      <c r="C131" s="35"/>
      <c r="D131" s="35">
        <v>45510</v>
      </c>
      <c r="E131" s="35">
        <v>45574</v>
      </c>
      <c r="F131" s="40"/>
      <c r="G131" s="40"/>
      <c r="H131" s="5">
        <v>31.89</v>
      </c>
      <c r="I131" s="102">
        <f>79/30*63*0.5</f>
        <v>82.95</v>
      </c>
      <c r="J131" s="40">
        <v>60</v>
      </c>
      <c r="K131" s="40"/>
      <c r="L131" s="6">
        <v>174</v>
      </c>
      <c r="M131" s="6">
        <v>79</v>
      </c>
      <c r="N131" s="59">
        <f t="shared" si="2"/>
        <v>66.5</v>
      </c>
    </row>
    <row r="132" spans="1:16">
      <c r="A132" s="44" t="s">
        <v>398</v>
      </c>
      <c r="B132" s="44"/>
      <c r="C132" s="35"/>
      <c r="D132" s="35">
        <v>45516</v>
      </c>
      <c r="E132" s="35">
        <v>45583</v>
      </c>
      <c r="F132" s="40"/>
      <c r="G132" s="40"/>
      <c r="H132" s="5"/>
      <c r="I132" s="102">
        <f>56.5/30*66*0.5</f>
        <v>62.15</v>
      </c>
      <c r="J132" s="40">
        <v>75</v>
      </c>
      <c r="K132" s="40"/>
      <c r="L132" s="6">
        <v>140</v>
      </c>
      <c r="M132" s="6">
        <v>56.5</v>
      </c>
      <c r="N132" s="59">
        <f t="shared" si="2"/>
        <v>58.449999999999996</v>
      </c>
    </row>
    <row r="133" spans="1:16">
      <c r="A133" s="44" t="s">
        <v>390</v>
      </c>
      <c r="B133" s="44"/>
      <c r="C133" s="35"/>
      <c r="D133" s="35">
        <v>45573</v>
      </c>
      <c r="E133" s="35">
        <v>45621</v>
      </c>
      <c r="F133" s="40"/>
      <c r="G133" s="40"/>
      <c r="H133" s="5">
        <v>16.940000000000001</v>
      </c>
      <c r="I133" s="102">
        <f>47.5/30*47</f>
        <v>74.416666666666657</v>
      </c>
      <c r="J133" s="40">
        <v>60</v>
      </c>
      <c r="K133" s="40"/>
      <c r="L133" s="6">
        <v>130</v>
      </c>
      <c r="M133" s="6">
        <v>63.5</v>
      </c>
      <c r="N133" s="59">
        <f>(L133-M133)*0.7</f>
        <v>46.55</v>
      </c>
    </row>
    <row r="134" spans="1:16">
      <c r="A134" s="10" t="s">
        <v>406</v>
      </c>
      <c r="B134" s="44"/>
      <c r="C134" s="35">
        <v>45624</v>
      </c>
      <c r="D134" s="35">
        <v>45631</v>
      </c>
      <c r="E134" s="35">
        <v>45631</v>
      </c>
      <c r="F134" s="40"/>
      <c r="G134" s="40"/>
      <c r="H134" s="5">
        <v>13.98</v>
      </c>
      <c r="I134" s="102"/>
      <c r="J134" s="40">
        <v>15</v>
      </c>
      <c r="K134" s="40"/>
      <c r="L134" s="6">
        <v>59</v>
      </c>
      <c r="M134" s="6">
        <v>38</v>
      </c>
      <c r="N134" s="59">
        <f>(L134-M134)*0.7/30*55</f>
        <v>26.95</v>
      </c>
    </row>
    <row r="135" spans="1:16">
      <c r="C135" s="36"/>
      <c r="D135" s="36"/>
      <c r="F135" s="28"/>
      <c r="G135" s="28"/>
      <c r="H135" s="30"/>
      <c r="I135" s="30"/>
      <c r="M135" s="62" t="s">
        <v>4</v>
      </c>
      <c r="N135" s="18">
        <f>SUM(N2:N134)</f>
        <v>4863.0799999999981</v>
      </c>
    </row>
    <row r="136" spans="1:16">
      <c r="C136" s="36"/>
      <c r="D136" s="36"/>
      <c r="F136" s="28"/>
      <c r="G136" s="28"/>
      <c r="H136" s="30"/>
      <c r="I136" s="104"/>
      <c r="M136" s="61" t="s">
        <v>251</v>
      </c>
      <c r="N136" s="6">
        <f>N135+N146-H134-J134</f>
        <v>4341.619999999999</v>
      </c>
    </row>
    <row r="137" spans="1:16">
      <c r="C137" s="36"/>
      <c r="D137" s="36"/>
      <c r="F137" s="28"/>
      <c r="G137" s="28"/>
      <c r="H137" s="30"/>
      <c r="I137" s="104"/>
    </row>
    <row r="139" spans="1:16">
      <c r="A139" s="28"/>
      <c r="B139" s="28"/>
      <c r="E139" s="15"/>
      <c r="F139" s="1"/>
      <c r="G139" s="1"/>
      <c r="H139" s="1"/>
      <c r="J139" s="1"/>
      <c r="K139" s="1"/>
      <c r="L139" s="1" t="s">
        <v>407</v>
      </c>
      <c r="M139" s="1"/>
      <c r="N139" s="29">
        <f>-30.8*5</f>
        <v>-154</v>
      </c>
    </row>
    <row r="140" spans="1:16">
      <c r="L140" s="1" t="s">
        <v>401</v>
      </c>
      <c r="M140" s="1"/>
      <c r="N140">
        <v>63</v>
      </c>
    </row>
    <row r="141" spans="1:16">
      <c r="H141" s="30"/>
      <c r="L141" s="1" t="s">
        <v>403</v>
      </c>
      <c r="M141"/>
      <c r="N141">
        <v>-13.98</v>
      </c>
    </row>
    <row r="142" spans="1:16">
      <c r="L142" t="s">
        <v>363</v>
      </c>
      <c r="M142"/>
      <c r="N142">
        <f>-2.9*20</f>
        <v>-58</v>
      </c>
      <c r="P142" s="42"/>
    </row>
    <row r="143" spans="1:16">
      <c r="L143" s="1" t="s">
        <v>409</v>
      </c>
      <c r="N143">
        <v>-9.98</v>
      </c>
    </row>
    <row r="144" spans="1:16">
      <c r="L144" s="1" t="s">
        <v>404</v>
      </c>
      <c r="N144" s="108">
        <f>-11.92-290</f>
        <v>-301.92</v>
      </c>
      <c r="P144" s="42"/>
    </row>
    <row r="145" spans="12:16">
      <c r="L145" s="1" t="s">
        <v>405</v>
      </c>
      <c r="N145">
        <v>-17.600000000000001</v>
      </c>
    </row>
    <row r="146" spans="12:16">
      <c r="L146" s="1"/>
      <c r="N146" s="1">
        <f>SUM(N139:N145)</f>
        <v>-492.48</v>
      </c>
      <c r="P146" s="42"/>
    </row>
    <row r="147" spans="12:16">
      <c r="L147" s="1"/>
    </row>
    <row r="148" spans="12:16">
      <c r="L148" s="1"/>
    </row>
  </sheetData>
  <autoFilter ref="A1:P136">
    <sortState ref="A2:P95">
      <sortCondition ref="B1:B95"/>
    </sortState>
  </autoFilter>
  <pageMargins left="0.7" right="0.7" top="0.75" bottom="0.75" header="0.3" footer="0.3"/>
  <pageSetup paperSize="9"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>
  <dimension ref="A1:P149"/>
  <sheetViews>
    <sheetView topLeftCell="B128" workbookViewId="0">
      <selection activeCell="M139" sqref="M139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2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44</v>
      </c>
      <c r="B19" s="2"/>
      <c r="C19" s="4">
        <v>43196</v>
      </c>
      <c r="D19" s="4"/>
      <c r="E19" s="4">
        <v>43250</v>
      </c>
      <c r="F19" s="5"/>
      <c r="G19" s="49"/>
      <c r="H19" s="5">
        <v>13.78</v>
      </c>
      <c r="I19" s="102">
        <f>25*24/30+25</f>
        <v>45</v>
      </c>
      <c r="J19" s="5"/>
      <c r="K19" s="5"/>
      <c r="L19" s="6">
        <v>11</v>
      </c>
      <c r="M19" s="61">
        <v>25</v>
      </c>
      <c r="N19" s="6">
        <v>9.7999999999999989</v>
      </c>
    </row>
    <row r="20" spans="1:15">
      <c r="A20" s="22" t="s">
        <v>47</v>
      </c>
      <c r="B20" s="22"/>
      <c r="C20" s="4">
        <v>43355</v>
      </c>
      <c r="D20" s="4"/>
      <c r="E20" s="4">
        <v>43277</v>
      </c>
      <c r="F20" s="5"/>
      <c r="G20" s="49"/>
      <c r="H20" s="5">
        <v>19.98</v>
      </c>
      <c r="I20" s="102">
        <f>36*2+36/30*16</f>
        <v>91.2</v>
      </c>
      <c r="J20" s="5"/>
      <c r="K20" s="5"/>
      <c r="L20" s="6">
        <v>105</v>
      </c>
      <c r="M20" s="61">
        <v>36</v>
      </c>
      <c r="N20" s="6">
        <f t="shared" si="0"/>
        <v>48.3</v>
      </c>
    </row>
    <row r="21" spans="1:15">
      <c r="A21" s="22" t="s">
        <v>48</v>
      </c>
      <c r="B21" s="22"/>
      <c r="C21" s="4">
        <v>43367</v>
      </c>
      <c r="D21" s="4"/>
      <c r="E21" s="4">
        <v>43284</v>
      </c>
      <c r="F21" s="5"/>
      <c r="G21" s="49"/>
      <c r="H21" s="5">
        <v>9.1</v>
      </c>
      <c r="I21" s="102">
        <f>25+25/30*27</f>
        <v>47.5</v>
      </c>
      <c r="J21" s="5"/>
      <c r="K21" s="5"/>
      <c r="L21" s="6">
        <v>75</v>
      </c>
      <c r="M21" s="61">
        <v>25</v>
      </c>
      <c r="N21" s="6">
        <f t="shared" si="0"/>
        <v>35</v>
      </c>
    </row>
    <row r="22" spans="1:15">
      <c r="A22" s="2" t="s">
        <v>45</v>
      </c>
      <c r="B22" s="2"/>
      <c r="C22" s="4"/>
      <c r="D22" s="4"/>
      <c r="E22" s="4">
        <v>43286</v>
      </c>
      <c r="F22" s="5"/>
      <c r="G22" s="49"/>
      <c r="H22" s="5">
        <v>11.56</v>
      </c>
      <c r="I22" s="102"/>
      <c r="J22" s="5"/>
      <c r="K22" s="5"/>
      <c r="L22" s="6">
        <v>150</v>
      </c>
      <c r="M22" s="61">
        <v>76</v>
      </c>
      <c r="N22" s="6">
        <f t="shared" si="0"/>
        <v>51.8</v>
      </c>
      <c r="O22" s="20"/>
    </row>
    <row r="23" spans="1:15">
      <c r="A23" s="22" t="s">
        <v>49</v>
      </c>
      <c r="B23" s="22"/>
      <c r="C23" s="4">
        <v>43367</v>
      </c>
      <c r="D23" s="4"/>
      <c r="E23" s="4">
        <v>43291</v>
      </c>
      <c r="F23" s="5"/>
      <c r="G23" s="49"/>
      <c r="H23" s="5">
        <v>10.039999999999999</v>
      </c>
      <c r="I23" s="102">
        <f>50+25/30*14</f>
        <v>61.666666666666671</v>
      </c>
      <c r="J23" s="5"/>
      <c r="K23" s="5"/>
      <c r="L23" s="6">
        <v>50</v>
      </c>
      <c r="M23" s="61">
        <v>22</v>
      </c>
      <c r="N23" s="18">
        <f t="shared" si="0"/>
        <v>19.599999999999998</v>
      </c>
    </row>
    <row r="24" spans="1:15">
      <c r="A24" s="22" t="s">
        <v>51</v>
      </c>
      <c r="B24" s="22"/>
      <c r="C24" s="4">
        <v>43358</v>
      </c>
      <c r="D24" s="4"/>
      <c r="E24" s="4">
        <v>43291</v>
      </c>
      <c r="F24" s="5"/>
      <c r="G24" s="49"/>
      <c r="H24" s="5">
        <v>10.039999999999999</v>
      </c>
      <c r="I24" s="102">
        <f>50+25/30*5</f>
        <v>54.166666666666664</v>
      </c>
      <c r="J24" s="5"/>
      <c r="K24" s="5"/>
      <c r="L24" s="6">
        <v>75</v>
      </c>
      <c r="M24" s="61">
        <v>25</v>
      </c>
      <c r="N24" s="6">
        <f t="shared" si="0"/>
        <v>35</v>
      </c>
    </row>
    <row r="25" spans="1:15">
      <c r="A25" s="22" t="s">
        <v>52</v>
      </c>
      <c r="B25" s="22"/>
      <c r="C25" s="4">
        <v>43367</v>
      </c>
      <c r="D25" s="4"/>
      <c r="E25" s="4">
        <v>43308</v>
      </c>
      <c r="F25" s="5"/>
      <c r="G25" s="49"/>
      <c r="H25" s="5">
        <v>10.86</v>
      </c>
      <c r="I25" s="102">
        <f>25+25/30*27</f>
        <v>47.5</v>
      </c>
      <c r="J25" s="5"/>
      <c r="K25" s="5"/>
      <c r="L25" s="6">
        <v>75</v>
      </c>
      <c r="M25" s="61">
        <v>25</v>
      </c>
      <c r="N25" s="27">
        <f t="shared" si="0"/>
        <v>35</v>
      </c>
    </row>
    <row r="26" spans="1:15">
      <c r="A26" s="22" t="s">
        <v>50</v>
      </c>
      <c r="B26" s="22"/>
      <c r="C26" s="4">
        <v>43367</v>
      </c>
      <c r="D26" s="4"/>
      <c r="E26" s="4">
        <v>43312</v>
      </c>
      <c r="F26" s="5"/>
      <c r="G26" s="49"/>
      <c r="H26" s="5">
        <v>10.86</v>
      </c>
      <c r="I26" s="102">
        <f>25+25/30*24</f>
        <v>45</v>
      </c>
      <c r="J26" s="5"/>
      <c r="K26" s="5"/>
      <c r="L26" s="6">
        <v>70</v>
      </c>
      <c r="M26" s="61">
        <v>25</v>
      </c>
      <c r="N26" s="6">
        <f t="shared" si="0"/>
        <v>31.499999999999996</v>
      </c>
    </row>
    <row r="27" spans="1:15">
      <c r="A27" s="22" t="s">
        <v>55</v>
      </c>
      <c r="B27" s="22"/>
      <c r="C27" s="4">
        <v>43363</v>
      </c>
      <c r="D27" s="4"/>
      <c r="E27" s="4">
        <v>43440</v>
      </c>
      <c r="F27" s="5"/>
      <c r="G27" s="49"/>
      <c r="H27" s="5">
        <v>14.11</v>
      </c>
      <c r="I27" s="102">
        <f>25*2+25*16/30</f>
        <v>63.333333333333336</v>
      </c>
      <c r="J27" s="5"/>
      <c r="K27" s="5"/>
      <c r="L27" s="6">
        <v>75</v>
      </c>
      <c r="M27" s="61">
        <v>25</v>
      </c>
      <c r="N27" s="6">
        <f t="shared" si="0"/>
        <v>35</v>
      </c>
    </row>
    <row r="28" spans="1:15">
      <c r="A28" s="22" t="s">
        <v>54</v>
      </c>
      <c r="B28" s="22"/>
      <c r="C28" s="4">
        <v>43167</v>
      </c>
      <c r="D28" s="4"/>
      <c r="E28" s="4">
        <v>43455</v>
      </c>
      <c r="F28" s="5"/>
      <c r="G28" s="49"/>
      <c r="H28" s="5">
        <v>10.86</v>
      </c>
      <c r="I28" s="102">
        <f>9*25+25*13/30</f>
        <v>235.83333333333334</v>
      </c>
      <c r="J28" s="5"/>
      <c r="K28" s="5"/>
      <c r="L28" s="6">
        <v>90</v>
      </c>
      <c r="M28" s="61">
        <v>36</v>
      </c>
      <c r="N28" s="6">
        <f t="shared" si="0"/>
        <v>37.799999999999997</v>
      </c>
    </row>
    <row r="29" spans="1:15">
      <c r="A29" s="22" t="s">
        <v>57</v>
      </c>
      <c r="B29" s="55"/>
      <c r="C29" s="31">
        <v>43478</v>
      </c>
      <c r="D29" s="31"/>
      <c r="E29" s="4">
        <v>43536</v>
      </c>
      <c r="F29" s="5"/>
      <c r="G29" s="49"/>
      <c r="H29" s="5">
        <v>10.86</v>
      </c>
      <c r="I29" s="102">
        <v>25</v>
      </c>
      <c r="J29" s="5"/>
      <c r="K29" s="5"/>
      <c r="L29" s="6">
        <v>70</v>
      </c>
      <c r="M29" s="61">
        <v>25</v>
      </c>
      <c r="N29" s="6">
        <f t="shared" si="0"/>
        <v>31.499999999999996</v>
      </c>
    </row>
    <row r="30" spans="1:15">
      <c r="A30" s="22" t="s">
        <v>59</v>
      </c>
      <c r="B30" s="22"/>
      <c r="C30" s="4">
        <v>43528</v>
      </c>
      <c r="D30" s="4"/>
      <c r="E30" s="4">
        <v>43538</v>
      </c>
      <c r="F30" s="5"/>
      <c r="G30" s="49"/>
      <c r="H30" s="5">
        <v>14.92</v>
      </c>
      <c r="I30" s="102">
        <f>77/30*10</f>
        <v>25.666666666666668</v>
      </c>
      <c r="J30" s="5"/>
      <c r="K30" s="5"/>
      <c r="L30" s="6">
        <v>169</v>
      </c>
      <c r="M30" s="61">
        <f>64+11+2</f>
        <v>77</v>
      </c>
      <c r="N30" s="6">
        <f t="shared" si="0"/>
        <v>64.399999999999991</v>
      </c>
    </row>
    <row r="31" spans="1:15">
      <c r="A31" s="22" t="s">
        <v>58</v>
      </c>
      <c r="B31" s="22"/>
      <c r="C31" s="4">
        <v>43534</v>
      </c>
      <c r="D31" s="4"/>
      <c r="E31" s="4">
        <v>43542</v>
      </c>
      <c r="F31" s="5"/>
      <c r="G31" s="49"/>
      <c r="H31" s="5">
        <f>10.86*2</f>
        <v>21.72</v>
      </c>
      <c r="I31" s="102">
        <v>0</v>
      </c>
      <c r="J31" s="5"/>
      <c r="K31" s="5"/>
      <c r="L31" s="6">
        <v>60</v>
      </c>
      <c r="M31" s="61">
        <v>33</v>
      </c>
      <c r="N31" s="6">
        <v>18.899999999999999</v>
      </c>
    </row>
    <row r="32" spans="1:15">
      <c r="A32" s="22" t="s">
        <v>61</v>
      </c>
      <c r="B32" s="22"/>
      <c r="C32" s="4">
        <v>43482</v>
      </c>
      <c r="D32" s="4"/>
      <c r="E32" s="4">
        <v>43542</v>
      </c>
      <c r="F32" s="5"/>
      <c r="G32" s="49"/>
      <c r="H32" s="5">
        <v>11.1</v>
      </c>
      <c r="I32" s="102">
        <f>25*2</f>
        <v>50</v>
      </c>
      <c r="J32" s="5"/>
      <c r="K32" s="5"/>
      <c r="L32" s="6">
        <v>70</v>
      </c>
      <c r="M32" s="61">
        <v>26</v>
      </c>
      <c r="N32" s="6">
        <f t="shared" si="0"/>
        <v>30.799999999999997</v>
      </c>
    </row>
    <row r="33" spans="1:16">
      <c r="A33" s="22" t="s">
        <v>67</v>
      </c>
      <c r="B33" s="22"/>
      <c r="C33" s="4">
        <v>43600</v>
      </c>
      <c r="D33" s="4"/>
      <c r="E33" s="4">
        <v>43629</v>
      </c>
      <c r="F33" s="5"/>
      <c r="G33" s="49"/>
      <c r="H33" s="5">
        <f>10.86*2</f>
        <v>21.72</v>
      </c>
      <c r="I33" s="102">
        <f>22/30*58</f>
        <v>42.533333333333331</v>
      </c>
      <c r="J33" s="5">
        <v>50</v>
      </c>
      <c r="K33" s="5">
        <f>H33+I33+J33</f>
        <v>114.25333333333333</v>
      </c>
      <c r="L33" s="6">
        <v>60</v>
      </c>
      <c r="M33" s="61">
        <v>25</v>
      </c>
      <c r="N33" s="6">
        <v>0</v>
      </c>
    </row>
    <row r="34" spans="1:16">
      <c r="A34" s="22" t="s">
        <v>66</v>
      </c>
      <c r="B34" s="22"/>
      <c r="C34" s="4">
        <v>43600</v>
      </c>
      <c r="D34" s="4"/>
      <c r="E34" s="4">
        <v>43629</v>
      </c>
      <c r="F34" s="5"/>
      <c r="G34" s="49"/>
      <c r="H34" s="5">
        <f>10.86</f>
        <v>10.86</v>
      </c>
      <c r="I34" s="102">
        <f>39/30*58</f>
        <v>75.400000000000006</v>
      </c>
      <c r="J34" s="5"/>
      <c r="K34" s="5">
        <f>H34+I34</f>
        <v>86.26</v>
      </c>
      <c r="L34" s="6">
        <v>110</v>
      </c>
      <c r="M34" s="61">
        <f>25+11+3</f>
        <v>39</v>
      </c>
      <c r="N34" s="6">
        <v>0</v>
      </c>
      <c r="O34" t="s">
        <v>73</v>
      </c>
    </row>
    <row r="35" spans="1:16">
      <c r="A35" s="22" t="s">
        <v>64</v>
      </c>
      <c r="B35" s="22"/>
      <c r="C35" s="4">
        <v>43627</v>
      </c>
      <c r="D35" s="4"/>
      <c r="E35" s="4">
        <v>43629</v>
      </c>
      <c r="F35" s="5"/>
      <c r="G35" s="49"/>
      <c r="H35" s="5">
        <v>10.86</v>
      </c>
      <c r="I35" s="102">
        <f>25/30*2</f>
        <v>1.6666666666666667</v>
      </c>
      <c r="J35" s="5"/>
      <c r="K35" s="5">
        <f>H35+I35</f>
        <v>12.526666666666666</v>
      </c>
      <c r="L35" s="6">
        <v>200</v>
      </c>
      <c r="M35" s="61">
        <v>11</v>
      </c>
      <c r="N35" s="5">
        <f t="shared" ref="N35:N46" si="1">(L35-M35)*0.7</f>
        <v>132.29999999999998</v>
      </c>
    </row>
    <row r="36" spans="1:16">
      <c r="A36" s="22" t="s">
        <v>65</v>
      </c>
      <c r="B36" s="22"/>
      <c r="C36" s="4">
        <v>43622</v>
      </c>
      <c r="D36" s="4"/>
      <c r="E36" s="4">
        <v>43650</v>
      </c>
      <c r="F36" s="5"/>
      <c r="G36" s="49"/>
      <c r="H36" s="5">
        <v>10.86</v>
      </c>
      <c r="I36" s="102"/>
      <c r="J36" s="5"/>
      <c r="K36" s="5"/>
      <c r="L36" s="6">
        <v>120</v>
      </c>
      <c r="M36" s="61">
        <v>60</v>
      </c>
      <c r="N36" s="6">
        <f t="shared" si="1"/>
        <v>42</v>
      </c>
    </row>
    <row r="37" spans="1:16">
      <c r="A37" s="22" t="s">
        <v>71</v>
      </c>
      <c r="B37" s="22"/>
      <c r="C37" s="4">
        <v>43635</v>
      </c>
      <c r="D37" s="4"/>
      <c r="E37" s="4">
        <v>43662</v>
      </c>
      <c r="F37" s="5"/>
      <c r="G37" s="49"/>
      <c r="H37" s="5">
        <f>10.86*2</f>
        <v>21.72</v>
      </c>
      <c r="I37" s="102"/>
      <c r="J37" s="5"/>
      <c r="K37" s="5"/>
      <c r="L37" s="6">
        <v>70</v>
      </c>
      <c r="M37" s="61">
        <v>26</v>
      </c>
      <c r="N37" s="6">
        <f t="shared" si="1"/>
        <v>30.799999999999997</v>
      </c>
      <c r="O37" t="s">
        <v>72</v>
      </c>
    </row>
    <row r="38" spans="1:16">
      <c r="A38" s="2" t="s">
        <v>75</v>
      </c>
      <c r="B38" s="2"/>
      <c r="C38" s="4">
        <v>43656</v>
      </c>
      <c r="D38" s="4"/>
      <c r="E38" s="4">
        <v>43711</v>
      </c>
      <c r="F38" s="5"/>
      <c r="G38" s="49"/>
      <c r="H38" s="5">
        <v>10.86</v>
      </c>
      <c r="I38" s="102">
        <f>36/30*48</f>
        <v>57.599999999999994</v>
      </c>
      <c r="J38" s="5"/>
      <c r="K38" s="5"/>
      <c r="L38" s="6">
        <v>105</v>
      </c>
      <c r="M38" s="61">
        <v>36</v>
      </c>
      <c r="N38" s="6">
        <f t="shared" si="1"/>
        <v>48.3</v>
      </c>
    </row>
    <row r="39" spans="1:16">
      <c r="A39" s="2" t="s">
        <v>76</v>
      </c>
      <c r="B39" s="2"/>
      <c r="C39" s="4">
        <v>43677</v>
      </c>
      <c r="D39" s="4"/>
      <c r="E39" s="4">
        <v>43713</v>
      </c>
      <c r="F39" s="5"/>
      <c r="G39" s="49"/>
      <c r="H39" s="5">
        <v>24.06</v>
      </c>
      <c r="I39" s="102">
        <f>80/30*35</f>
        <v>93.333333333333329</v>
      </c>
      <c r="J39" s="5">
        <v>40</v>
      </c>
      <c r="K39" s="5"/>
      <c r="L39" s="6">
        <v>149</v>
      </c>
      <c r="M39" s="61">
        <v>80</v>
      </c>
      <c r="N39" s="6">
        <f t="shared" si="1"/>
        <v>48.3</v>
      </c>
      <c r="O39" t="s">
        <v>79</v>
      </c>
    </row>
    <row r="40" spans="1:16">
      <c r="A40" s="10" t="s">
        <v>81</v>
      </c>
      <c r="B40" s="10"/>
      <c r="C40" s="11">
        <v>45444</v>
      </c>
      <c r="D40" s="11"/>
      <c r="E40" s="11">
        <v>45408</v>
      </c>
      <c r="F40" s="12"/>
      <c r="G40" s="12"/>
      <c r="H40" s="12"/>
      <c r="I40" s="106">
        <f>43/30*34</f>
        <v>48.733333333333334</v>
      </c>
      <c r="J40" s="12"/>
      <c r="K40" s="12"/>
      <c r="L40" s="12">
        <v>129</v>
      </c>
      <c r="M40" s="107">
        <v>61</v>
      </c>
      <c r="N40" s="12">
        <f t="shared" si="1"/>
        <v>47.599999999999994</v>
      </c>
    </row>
    <row r="41" spans="1:16">
      <c r="A41" s="22" t="s">
        <v>87</v>
      </c>
      <c r="B41" s="22"/>
      <c r="C41" s="35">
        <v>43878</v>
      </c>
      <c r="D41" s="35"/>
      <c r="E41" s="35">
        <v>43892</v>
      </c>
      <c r="F41" s="5"/>
      <c r="G41" s="49"/>
      <c r="H41" s="5">
        <v>12.19</v>
      </c>
      <c r="I41" s="102"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22" t="s">
        <v>89</v>
      </c>
      <c r="B42" s="22"/>
      <c r="C42" s="35">
        <v>43908</v>
      </c>
      <c r="D42" s="35"/>
      <c r="E42" s="35">
        <v>43893</v>
      </c>
      <c r="F42" s="5"/>
      <c r="G42" s="49"/>
      <c r="H42" s="5">
        <v>9.6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6">
      <c r="A43" s="22" t="s">
        <v>85</v>
      </c>
      <c r="B43" s="22"/>
      <c r="C43" s="35">
        <v>43881</v>
      </c>
      <c r="D43" s="35"/>
      <c r="E43" s="35">
        <v>43895</v>
      </c>
      <c r="F43" s="5"/>
      <c r="G43" s="49"/>
      <c r="H43" s="5">
        <v>9.14</v>
      </c>
      <c r="I43" s="102">
        <f>11/30*15</f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6">
      <c r="A44" s="39" t="s">
        <v>82</v>
      </c>
      <c r="B44" s="28"/>
      <c r="C44" s="36">
        <v>40235</v>
      </c>
      <c r="D44" s="36"/>
      <c r="E44" s="36">
        <v>43901</v>
      </c>
      <c r="F44" s="5"/>
      <c r="G44" s="34"/>
      <c r="H44" s="37">
        <v>9.6</v>
      </c>
      <c r="I44" s="102">
        <f>11/2</f>
        <v>5.5</v>
      </c>
      <c r="J44" s="5"/>
      <c r="K44" s="5"/>
      <c r="L44" s="17">
        <v>25</v>
      </c>
      <c r="M44" s="63">
        <v>11</v>
      </c>
      <c r="N44" s="26">
        <f t="shared" si="1"/>
        <v>9.7999999999999989</v>
      </c>
    </row>
    <row r="45" spans="1:16">
      <c r="A45" s="22" t="s">
        <v>80</v>
      </c>
      <c r="B45" s="22"/>
      <c r="C45" s="35">
        <v>43873</v>
      </c>
      <c r="D45" s="35"/>
      <c r="E45" s="35">
        <v>43910</v>
      </c>
      <c r="F45" s="5"/>
      <c r="G45" s="49"/>
      <c r="H45" s="5">
        <v>21.84</v>
      </c>
      <c r="I45" s="102">
        <f>56/30*38</f>
        <v>70.933333333333337</v>
      </c>
      <c r="J45" s="5"/>
      <c r="K45" s="5"/>
      <c r="L45" s="6">
        <v>120</v>
      </c>
      <c r="M45" s="61">
        <v>56</v>
      </c>
      <c r="N45" s="6">
        <f t="shared" si="1"/>
        <v>44.8</v>
      </c>
    </row>
    <row r="46" spans="1:16">
      <c r="A46" s="22" t="s">
        <v>88</v>
      </c>
      <c r="B46" s="22"/>
      <c r="C46" s="35">
        <v>43855</v>
      </c>
      <c r="D46" s="35"/>
      <c r="E46" s="35">
        <v>43941</v>
      </c>
      <c r="F46" s="5"/>
      <c r="G46" s="49"/>
      <c r="H46" s="5">
        <v>13.93</v>
      </c>
      <c r="I46" s="102">
        <f>56/30*85</f>
        <v>158.66666666666666</v>
      </c>
      <c r="J46" s="5"/>
      <c r="K46" s="5"/>
      <c r="L46" s="6">
        <v>110</v>
      </c>
      <c r="M46" s="61">
        <v>56</v>
      </c>
      <c r="N46" s="6">
        <f t="shared" si="1"/>
        <v>37.799999999999997</v>
      </c>
    </row>
    <row r="47" spans="1:16">
      <c r="A47" s="22" t="s">
        <v>90</v>
      </c>
      <c r="B47" s="22"/>
      <c r="C47" s="35" t="s">
        <v>96</v>
      </c>
      <c r="D47" s="35"/>
      <c r="E47" s="35">
        <v>44015</v>
      </c>
      <c r="F47" s="5" t="s">
        <v>160</v>
      </c>
      <c r="G47" s="49">
        <v>12.5</v>
      </c>
      <c r="H47" s="5">
        <v>11.29</v>
      </c>
      <c r="I47" s="102">
        <f>100</f>
        <v>100</v>
      </c>
      <c r="J47" s="5"/>
      <c r="K47" s="5"/>
      <c r="L47" s="6">
        <v>105</v>
      </c>
      <c r="M47" s="61">
        <f>25+11+22</f>
        <v>58</v>
      </c>
      <c r="N47" s="6">
        <f>12.5+(92.5-M47)*0.7</f>
        <v>36.65</v>
      </c>
      <c r="P47" s="41"/>
    </row>
    <row r="48" spans="1:16">
      <c r="A48" s="22" t="s">
        <v>97</v>
      </c>
      <c r="B48" s="22"/>
      <c r="C48" s="35">
        <v>43990</v>
      </c>
      <c r="D48" s="35"/>
      <c r="E48" s="35">
        <v>44036</v>
      </c>
      <c r="F48" s="5"/>
      <c r="G48" s="49"/>
      <c r="H48" s="5">
        <v>8.75</v>
      </c>
      <c r="I48" s="102">
        <f>56/30*46</f>
        <v>85.866666666666674</v>
      </c>
      <c r="J48" s="5"/>
      <c r="K48" s="5"/>
      <c r="L48" s="6">
        <v>110</v>
      </c>
      <c r="M48" s="61">
        <f>45+11</f>
        <v>56</v>
      </c>
      <c r="N48" s="6">
        <f>(L48-M48)*0.7</f>
        <v>37.799999999999997</v>
      </c>
    </row>
    <row r="49" spans="1:16">
      <c r="A49" s="22" t="s">
        <v>95</v>
      </c>
      <c r="B49" s="22"/>
      <c r="C49" s="35">
        <v>44028</v>
      </c>
      <c r="D49" s="35"/>
      <c r="E49" s="35">
        <v>44040</v>
      </c>
      <c r="F49" s="5"/>
      <c r="G49" s="49"/>
      <c r="H49" s="5">
        <v>8.75</v>
      </c>
      <c r="I49" s="102">
        <f>41/30*12</f>
        <v>16.399999999999999</v>
      </c>
      <c r="J49" s="5"/>
      <c r="K49" s="5"/>
      <c r="L49" s="6">
        <v>60</v>
      </c>
      <c r="M49" s="61">
        <v>41</v>
      </c>
      <c r="N49" s="6">
        <f>(L49-M49)*0.7</f>
        <v>13.299999999999999</v>
      </c>
    </row>
    <row r="50" spans="1:16">
      <c r="A50" s="22" t="s">
        <v>94</v>
      </c>
      <c r="B50" s="22"/>
      <c r="C50" s="35">
        <v>44011</v>
      </c>
      <c r="D50" s="35"/>
      <c r="E50" s="35">
        <v>44084</v>
      </c>
      <c r="F50" s="5"/>
      <c r="G50" s="49"/>
      <c r="H50" s="5">
        <v>11.29</v>
      </c>
      <c r="I50" s="102">
        <f>25/30*71</f>
        <v>59.166666666666671</v>
      </c>
      <c r="J50" s="5"/>
      <c r="K50" s="5"/>
      <c r="L50" s="6">
        <v>40</v>
      </c>
      <c r="M50" s="61">
        <v>25</v>
      </c>
      <c r="N50" s="6">
        <f>(L50-M50)*0.7</f>
        <v>10.5</v>
      </c>
    </row>
    <row r="51" spans="1:16">
      <c r="A51" s="2" t="s">
        <v>99</v>
      </c>
      <c r="B51" s="2"/>
      <c r="C51" s="35">
        <v>44084</v>
      </c>
      <c r="D51" s="35"/>
      <c r="E51" s="35">
        <v>44105</v>
      </c>
      <c r="F51" s="5" t="s">
        <v>160</v>
      </c>
      <c r="G51" s="49">
        <v>5</v>
      </c>
      <c r="H51" s="5">
        <v>12.24</v>
      </c>
      <c r="I51" s="102">
        <f>25/30*20</f>
        <v>16.666666666666668</v>
      </c>
      <c r="J51" s="5"/>
      <c r="K51" s="5"/>
      <c r="L51" s="43">
        <v>40</v>
      </c>
      <c r="M51" s="61">
        <v>22</v>
      </c>
      <c r="N51" s="6">
        <f>5+13*0.7</f>
        <v>14.1</v>
      </c>
      <c r="P51" s="41"/>
    </row>
    <row r="52" spans="1:16">
      <c r="A52" s="2" t="s">
        <v>102</v>
      </c>
      <c r="B52" s="2"/>
      <c r="C52" s="4" t="s">
        <v>103</v>
      </c>
      <c r="D52" s="4"/>
      <c r="E52" s="4">
        <v>44110</v>
      </c>
      <c r="F52" s="5" t="s">
        <v>160</v>
      </c>
      <c r="G52" s="49">
        <v>10</v>
      </c>
      <c r="H52" s="5">
        <v>36.65</v>
      </c>
      <c r="I52" s="102">
        <f>115/30*26</f>
        <v>99.666666666666671</v>
      </c>
      <c r="J52" s="5"/>
      <c r="K52" s="5"/>
      <c r="L52" s="6">
        <v>180</v>
      </c>
      <c r="M52" s="61">
        <v>115</v>
      </c>
      <c r="N52" s="6">
        <f>10+55*0.7</f>
        <v>48.5</v>
      </c>
      <c r="P52" s="41"/>
    </row>
    <row r="53" spans="1:16">
      <c r="A53" s="2" t="s">
        <v>94</v>
      </c>
      <c r="B53" s="2"/>
      <c r="C53" s="35">
        <v>44124</v>
      </c>
      <c r="D53" s="35"/>
      <c r="E53" s="35">
        <v>44124</v>
      </c>
      <c r="F53" s="5"/>
      <c r="G53" s="49"/>
      <c r="H53" s="5">
        <v>7.25</v>
      </c>
      <c r="I53" s="102">
        <v>0</v>
      </c>
      <c r="J53" s="5"/>
      <c r="K53" s="5"/>
      <c r="L53" s="6">
        <v>25</v>
      </c>
      <c r="M53" s="61">
        <v>11</v>
      </c>
      <c r="N53" s="6">
        <f>(L53-M53)*0.7</f>
        <v>9.7999999999999989</v>
      </c>
    </row>
    <row r="54" spans="1:16">
      <c r="A54" s="2" t="s">
        <v>100</v>
      </c>
      <c r="B54" s="2"/>
      <c r="C54" s="4">
        <v>44018</v>
      </c>
      <c r="D54" s="4"/>
      <c r="E54" s="4">
        <v>44124</v>
      </c>
      <c r="F54" s="40"/>
      <c r="G54" s="2"/>
      <c r="H54" s="5">
        <v>9.5</v>
      </c>
      <c r="I54" s="102">
        <f>25/30*104</f>
        <v>86.666666666666671</v>
      </c>
      <c r="J54" s="5"/>
      <c r="K54" s="5"/>
      <c r="L54" s="6">
        <v>70</v>
      </c>
      <c r="M54" s="61">
        <v>25</v>
      </c>
      <c r="N54" s="6">
        <f>(L54-M54)*0.7</f>
        <v>31.499999999999996</v>
      </c>
    </row>
    <row r="55" spans="1:16">
      <c r="A55" s="2" t="s">
        <v>101</v>
      </c>
      <c r="B55" s="2"/>
      <c r="C55" s="4">
        <v>44070</v>
      </c>
      <c r="D55" s="4"/>
      <c r="E55" s="4">
        <v>44131</v>
      </c>
      <c r="F55" s="40"/>
      <c r="G55" s="2"/>
      <c r="H55" s="5">
        <v>13.93</v>
      </c>
      <c r="I55" s="102">
        <f>71/30*60</f>
        <v>142</v>
      </c>
      <c r="J55" s="5"/>
      <c r="K55" s="5"/>
      <c r="L55" s="6">
        <v>120</v>
      </c>
      <c r="M55" s="61">
        <f>60+11</f>
        <v>71</v>
      </c>
      <c r="N55" s="6">
        <f>(L55-M55)*0.7</f>
        <v>34.299999999999997</v>
      </c>
    </row>
    <row r="56" spans="1:16">
      <c r="A56" s="22" t="s">
        <v>104</v>
      </c>
      <c r="B56" s="22"/>
      <c r="C56" s="4">
        <v>44159</v>
      </c>
      <c r="D56" s="4"/>
      <c r="E56" s="4">
        <v>44187</v>
      </c>
      <c r="F56" s="40"/>
      <c r="G56" s="2"/>
      <c r="H56" s="5">
        <v>13.93</v>
      </c>
      <c r="I56" s="102">
        <f>36/30*28</f>
        <v>33.6</v>
      </c>
      <c r="J56" s="5"/>
      <c r="K56" s="5"/>
      <c r="L56" s="6">
        <v>110</v>
      </c>
      <c r="M56" s="61">
        <f>25+11</f>
        <v>36</v>
      </c>
      <c r="N56" s="6">
        <f>(L56-M56)*0.7</f>
        <v>51.8</v>
      </c>
    </row>
    <row r="57" spans="1:16">
      <c r="A57" s="22" t="s">
        <v>120</v>
      </c>
      <c r="B57" s="22"/>
      <c r="C57" s="4">
        <v>44169</v>
      </c>
      <c r="D57" s="4"/>
      <c r="E57" s="4">
        <v>44208</v>
      </c>
      <c r="F57" s="5" t="s">
        <v>160</v>
      </c>
      <c r="G57" s="49">
        <v>10</v>
      </c>
      <c r="H57" s="5"/>
      <c r="I57" s="102">
        <f>41/30*38</f>
        <v>51.933333333333337</v>
      </c>
      <c r="J57" s="5"/>
      <c r="K57" s="5"/>
      <c r="L57" s="6">
        <v>70</v>
      </c>
      <c r="M57" s="61">
        <v>45</v>
      </c>
      <c r="N57" s="5">
        <f>10+(60-45)*0.7</f>
        <v>20.5</v>
      </c>
      <c r="O57" s="1" t="s">
        <v>145</v>
      </c>
    </row>
    <row r="58" spans="1:16">
      <c r="A58" s="22" t="s">
        <v>108</v>
      </c>
      <c r="B58" s="22"/>
      <c r="C58" s="4">
        <v>44185</v>
      </c>
      <c r="D58" s="4"/>
      <c r="E58" s="4">
        <v>44242</v>
      </c>
      <c r="F58" s="5" t="s">
        <v>160</v>
      </c>
      <c r="G58" s="49">
        <v>20</v>
      </c>
      <c r="H58" s="5">
        <v>26.48</v>
      </c>
      <c r="I58" s="102">
        <f>50/30*55</f>
        <v>91.666666666666671</v>
      </c>
      <c r="J58" s="5">
        <v>160</v>
      </c>
      <c r="K58" s="5"/>
      <c r="L58" s="6">
        <v>130</v>
      </c>
      <c r="M58" s="61">
        <v>34</v>
      </c>
      <c r="N58" s="5">
        <f>(20+(110-34)*0.7)</f>
        <v>73.199999999999989</v>
      </c>
      <c r="O58" s="1" t="s">
        <v>145</v>
      </c>
    </row>
    <row r="59" spans="1:16">
      <c r="A59" s="22" t="s">
        <v>109</v>
      </c>
      <c r="B59" s="22"/>
      <c r="C59" s="4">
        <v>44209</v>
      </c>
      <c r="D59" s="4"/>
      <c r="E59" s="4">
        <v>44250</v>
      </c>
      <c r="F59" s="5" t="s">
        <v>160</v>
      </c>
      <c r="G59" s="49">
        <v>22.5</v>
      </c>
      <c r="H59" s="5">
        <v>22.83</v>
      </c>
      <c r="I59" s="102">
        <f>100/30*40</f>
        <v>133.33333333333334</v>
      </c>
      <c r="J59" s="5">
        <v>125</v>
      </c>
      <c r="K59" s="5"/>
      <c r="L59" s="6">
        <v>210</v>
      </c>
      <c r="M59" s="61">
        <v>100</v>
      </c>
      <c r="N59" s="6">
        <f>(22.5+87.5*0.7)</f>
        <v>83.75</v>
      </c>
    </row>
    <row r="60" spans="1:16">
      <c r="A60" s="2" t="s">
        <v>113</v>
      </c>
      <c r="B60" s="2"/>
      <c r="C60" s="4">
        <v>44245</v>
      </c>
      <c r="D60" s="4"/>
      <c r="E60" s="4">
        <v>44271</v>
      </c>
      <c r="F60" s="5" t="s">
        <v>160</v>
      </c>
      <c r="G60" s="49">
        <v>15</v>
      </c>
      <c r="H60" s="5">
        <v>26.76</v>
      </c>
      <c r="I60" s="102">
        <f>67/30*28</f>
        <v>62.533333333333331</v>
      </c>
      <c r="J60" s="5"/>
      <c r="K60" s="5"/>
      <c r="L60" s="6">
        <v>140</v>
      </c>
      <c r="M60" s="61">
        <v>67</v>
      </c>
      <c r="N60" s="6">
        <f>(15+0.7*58)</f>
        <v>55.599999999999994</v>
      </c>
    </row>
    <row r="61" spans="1:16">
      <c r="A61" s="2" t="s">
        <v>112</v>
      </c>
      <c r="B61" s="2"/>
      <c r="C61" s="4">
        <v>44270</v>
      </c>
      <c r="D61" s="4"/>
      <c r="E61" s="4">
        <v>44286</v>
      </c>
      <c r="F61" s="5" t="s">
        <v>160</v>
      </c>
      <c r="G61" s="49">
        <v>17.5</v>
      </c>
      <c r="H61" s="5">
        <v>31.96</v>
      </c>
      <c r="I61" s="102">
        <f>55/30*16</f>
        <v>29.333333333333332</v>
      </c>
      <c r="J61" s="5">
        <v>75</v>
      </c>
      <c r="K61" s="5"/>
      <c r="L61" s="6">
        <v>100</v>
      </c>
      <c r="M61" s="61">
        <v>55</v>
      </c>
      <c r="N61" s="6">
        <f>(17.5+27.5*0.7)</f>
        <v>36.75</v>
      </c>
    </row>
    <row r="62" spans="1:16">
      <c r="A62" s="22" t="s">
        <v>121</v>
      </c>
      <c r="B62" s="22"/>
      <c r="C62" s="4">
        <v>44316</v>
      </c>
      <c r="D62" s="4"/>
      <c r="E62" s="4">
        <v>44354</v>
      </c>
      <c r="F62" s="40"/>
      <c r="G62" s="2"/>
      <c r="H62" s="5">
        <v>15.15</v>
      </c>
      <c r="I62" s="102">
        <f>36/30*37</f>
        <v>44.4</v>
      </c>
      <c r="J62" s="5"/>
      <c r="K62" s="5"/>
      <c r="L62" s="6">
        <v>110</v>
      </c>
      <c r="M62" s="61">
        <v>36</v>
      </c>
      <c r="N62" s="5">
        <f>(L62-M62)*0.7</f>
        <v>51.8</v>
      </c>
      <c r="O62" s="1" t="s">
        <v>145</v>
      </c>
    </row>
    <row r="63" spans="1:16">
      <c r="A63" s="22" t="s">
        <v>126</v>
      </c>
      <c r="B63" s="22"/>
      <c r="C63" s="4">
        <v>44336</v>
      </c>
      <c r="D63" s="4"/>
      <c r="E63" s="4">
        <v>44370</v>
      </c>
      <c r="F63" s="5" t="s">
        <v>161</v>
      </c>
      <c r="G63" s="49">
        <v>17.5</v>
      </c>
      <c r="H63" s="5">
        <v>35.78</v>
      </c>
      <c r="I63" s="102">
        <f>58/30*33</f>
        <v>63.8</v>
      </c>
      <c r="J63" s="5">
        <v>50</v>
      </c>
      <c r="K63" s="5"/>
      <c r="L63" s="6">
        <v>150</v>
      </c>
      <c r="M63" s="61">
        <v>58</v>
      </c>
      <c r="N63" s="6">
        <f>(17.5+74.5*0.7)</f>
        <v>69.650000000000006</v>
      </c>
    </row>
    <row r="64" spans="1:16">
      <c r="A64" s="44" t="s">
        <v>125</v>
      </c>
      <c r="B64" s="44"/>
      <c r="C64" s="4">
        <v>44342</v>
      </c>
      <c r="D64" s="4"/>
      <c r="E64" s="4">
        <v>44386</v>
      </c>
      <c r="F64" s="5" t="s">
        <v>160</v>
      </c>
      <c r="G64" s="49">
        <v>12.5</v>
      </c>
      <c r="H64" s="5">
        <v>15.46</v>
      </c>
      <c r="I64" s="102">
        <f>36/30*43</f>
        <v>51.6</v>
      </c>
      <c r="J64" s="5">
        <f>50+45</f>
        <v>95</v>
      </c>
      <c r="K64" s="5"/>
      <c r="L64" s="6">
        <v>80</v>
      </c>
      <c r="M64" s="61">
        <v>33</v>
      </c>
      <c r="N64" s="6">
        <f>12.5+(L64-M64-12.5)*0.7</f>
        <v>36.65</v>
      </c>
    </row>
    <row r="65" spans="1:16">
      <c r="A65" s="44" t="s">
        <v>129</v>
      </c>
      <c r="B65" s="44"/>
      <c r="C65" s="4">
        <v>44348</v>
      </c>
      <c r="D65" s="4"/>
      <c r="E65" s="4">
        <v>44389</v>
      </c>
      <c r="F65" s="5" t="s">
        <v>160</v>
      </c>
      <c r="G65" s="49">
        <v>12.5</v>
      </c>
      <c r="H65" s="5">
        <v>26.22</v>
      </c>
      <c r="I65" s="102">
        <f>71/30*42</f>
        <v>99.4</v>
      </c>
      <c r="J65" s="5">
        <f>50+45</f>
        <v>95</v>
      </c>
      <c r="K65" s="5"/>
      <c r="L65" s="6">
        <v>140</v>
      </c>
      <c r="M65" s="61">
        <v>71</v>
      </c>
      <c r="N65" s="6">
        <f>(12.5+(127.5-71)*0.7)</f>
        <v>52.05</v>
      </c>
    </row>
    <row r="66" spans="1:16">
      <c r="A66" s="44" t="s">
        <v>132</v>
      </c>
      <c r="B66" s="44"/>
      <c r="C66" s="4">
        <v>44407</v>
      </c>
      <c r="D66" s="4"/>
      <c r="E66" s="4">
        <v>44461</v>
      </c>
      <c r="F66" s="40"/>
      <c r="G66" s="2"/>
      <c r="H66" s="5">
        <v>9.8800000000000008</v>
      </c>
      <c r="I66" s="102">
        <f>25/30*52</f>
        <v>43.333333333333336</v>
      </c>
      <c r="J66" s="5"/>
      <c r="K66" s="5"/>
      <c r="L66" s="6">
        <v>40</v>
      </c>
      <c r="M66" s="61">
        <v>25</v>
      </c>
      <c r="N66" s="6">
        <f>(L66-M66)*0.7</f>
        <v>10.5</v>
      </c>
    </row>
    <row r="67" spans="1:16">
      <c r="A67" s="52" t="s">
        <v>141</v>
      </c>
      <c r="B67" s="52"/>
      <c r="C67" s="57">
        <v>44459</v>
      </c>
      <c r="D67" s="57"/>
      <c r="E67" s="57">
        <v>44481</v>
      </c>
      <c r="F67" s="10" t="s">
        <v>161</v>
      </c>
      <c r="G67" s="12">
        <v>10</v>
      </c>
      <c r="H67" s="25">
        <v>15.15</v>
      </c>
      <c r="I67" s="103">
        <f>46/30*22</f>
        <v>33.733333333333334</v>
      </c>
      <c r="J67" s="25">
        <v>80</v>
      </c>
      <c r="K67" s="25"/>
      <c r="L67" s="27">
        <v>120</v>
      </c>
      <c r="M67" s="64">
        <v>46</v>
      </c>
      <c r="N67" s="27">
        <f>10+(120-56)*0.7</f>
        <v>54.8</v>
      </c>
    </row>
    <row r="68" spans="1:16">
      <c r="A68" s="52" t="s">
        <v>140</v>
      </c>
      <c r="B68" s="52"/>
      <c r="C68" s="57">
        <v>44449</v>
      </c>
      <c r="D68" s="57"/>
      <c r="E68" s="57">
        <v>44482</v>
      </c>
      <c r="F68" s="25" t="s">
        <v>160</v>
      </c>
      <c r="G68" s="58">
        <v>10</v>
      </c>
      <c r="H68" s="25">
        <v>13.4</v>
      </c>
      <c r="I68" s="103">
        <f>60/30*33</f>
        <v>66</v>
      </c>
      <c r="J68" s="25">
        <v>80</v>
      </c>
      <c r="K68" s="25"/>
      <c r="L68" s="27">
        <v>120</v>
      </c>
      <c r="M68" s="64">
        <v>61</v>
      </c>
      <c r="N68" s="27">
        <f>(10+49*0.7)</f>
        <v>44.3</v>
      </c>
    </row>
    <row r="69" spans="1:16">
      <c r="A69" s="44" t="s">
        <v>137</v>
      </c>
      <c r="B69" s="44"/>
      <c r="C69" s="35">
        <v>44474</v>
      </c>
      <c r="D69" s="35"/>
      <c r="E69" s="35">
        <v>44487</v>
      </c>
      <c r="F69" s="10" t="s">
        <v>161</v>
      </c>
      <c r="G69" s="12">
        <v>12.5</v>
      </c>
      <c r="H69" s="5">
        <v>15.15</v>
      </c>
      <c r="I69" s="102">
        <f>71/30*13</f>
        <v>30.766666666666666</v>
      </c>
      <c r="J69" s="5">
        <v>95</v>
      </c>
      <c r="K69" s="5"/>
      <c r="L69" s="6">
        <v>140</v>
      </c>
      <c r="M69" s="61">
        <v>71</v>
      </c>
      <c r="N69" s="6">
        <f>12.5+(56.5)*0.7</f>
        <v>52.05</v>
      </c>
    </row>
    <row r="70" spans="1:16">
      <c r="A70" s="44" t="s">
        <v>143</v>
      </c>
      <c r="B70" s="44"/>
      <c r="C70" s="35">
        <v>43717</v>
      </c>
      <c r="D70" s="35"/>
      <c r="E70" s="35">
        <v>44505</v>
      </c>
      <c r="F70" s="40"/>
      <c r="G70" s="49"/>
      <c r="H70" s="5">
        <v>13.4</v>
      </c>
      <c r="I70" s="102">
        <f>36*25+36/30*26</f>
        <v>931.2</v>
      </c>
      <c r="J70" s="5"/>
      <c r="K70" s="5"/>
      <c r="L70" s="6">
        <v>100</v>
      </c>
      <c r="M70" s="61">
        <v>36</v>
      </c>
      <c r="N70" s="6">
        <f>(100-36)*0.7</f>
        <v>44.8</v>
      </c>
    </row>
    <row r="71" spans="1:16">
      <c r="A71" s="44" t="s">
        <v>139</v>
      </c>
      <c r="B71" s="44"/>
      <c r="C71" s="35">
        <v>44492</v>
      </c>
      <c r="D71" s="35"/>
      <c r="E71" s="35">
        <v>44539</v>
      </c>
      <c r="F71" s="40"/>
      <c r="G71" s="49"/>
      <c r="H71" s="5">
        <v>16.350000000000001</v>
      </c>
      <c r="I71" s="102">
        <f>71/30*46</f>
        <v>108.86666666666667</v>
      </c>
      <c r="J71" s="5">
        <v>95</v>
      </c>
      <c r="K71" s="5"/>
      <c r="L71" s="6">
        <v>140</v>
      </c>
      <c r="M71" s="61">
        <v>71</v>
      </c>
      <c r="N71" s="12">
        <f>(140-71)*0.7</f>
        <v>48.3</v>
      </c>
      <c r="O71" s="72" t="s">
        <v>329</v>
      </c>
      <c r="P71" s="72">
        <v>33.81</v>
      </c>
    </row>
    <row r="72" spans="1:16">
      <c r="A72" s="44" t="s">
        <v>144</v>
      </c>
      <c r="B72" s="44"/>
      <c r="C72" s="35">
        <v>44526</v>
      </c>
      <c r="D72" s="35"/>
      <c r="E72" s="35">
        <v>44550</v>
      </c>
      <c r="F72" s="5" t="s">
        <v>160</v>
      </c>
      <c r="G72" s="49">
        <v>12.5</v>
      </c>
      <c r="H72" s="5">
        <v>13.4</v>
      </c>
      <c r="I72" s="102">
        <f>83/30*24</f>
        <v>66.400000000000006</v>
      </c>
      <c r="J72" s="5"/>
      <c r="K72" s="5"/>
      <c r="L72" s="6">
        <v>140</v>
      </c>
      <c r="M72" s="61">
        <v>94</v>
      </c>
      <c r="N72" s="6">
        <f>12.5+(140-12.5-94)*0.7</f>
        <v>35.950000000000003</v>
      </c>
    </row>
    <row r="73" spans="1:16">
      <c r="A73" s="44" t="s">
        <v>149</v>
      </c>
      <c r="B73" s="44"/>
      <c r="C73" s="35">
        <v>44880</v>
      </c>
      <c r="D73" s="35"/>
      <c r="E73" s="35">
        <v>44575</v>
      </c>
      <c r="F73" s="40"/>
      <c r="G73" s="49"/>
      <c r="H73" s="5">
        <v>13.4</v>
      </c>
      <c r="I73" s="102"/>
      <c r="J73" s="5">
        <v>50</v>
      </c>
      <c r="K73" s="5"/>
      <c r="L73" s="6">
        <v>160</v>
      </c>
      <c r="M73" s="61">
        <f>71+9</f>
        <v>80</v>
      </c>
      <c r="N73" s="6">
        <f>(160-80)*0.7</f>
        <v>56</v>
      </c>
    </row>
    <row r="74" spans="1:16">
      <c r="A74" s="44" t="s">
        <v>146</v>
      </c>
      <c r="B74" s="44"/>
      <c r="C74" s="4">
        <v>44586</v>
      </c>
      <c r="D74" s="4"/>
      <c r="E74" s="4">
        <v>44615</v>
      </c>
      <c r="F74" s="10" t="s">
        <v>161</v>
      </c>
      <c r="G74" s="12">
        <v>12.5</v>
      </c>
      <c r="H74" s="5">
        <v>15.46</v>
      </c>
      <c r="I74" s="102">
        <f>27/30*28</f>
        <v>25.2</v>
      </c>
      <c r="J74" s="5">
        <v>110</v>
      </c>
      <c r="K74" s="5"/>
      <c r="L74" s="6">
        <v>154</v>
      </c>
      <c r="M74" s="61">
        <v>72</v>
      </c>
      <c r="N74" s="6">
        <f>12.5+(154-12.5-62)*0.7</f>
        <v>68.150000000000006</v>
      </c>
    </row>
    <row r="75" spans="1:16">
      <c r="A75" s="44" t="s">
        <v>148</v>
      </c>
      <c r="B75" s="44"/>
      <c r="C75" s="4">
        <v>44579</v>
      </c>
      <c r="D75" s="4"/>
      <c r="E75" s="4">
        <v>44594</v>
      </c>
      <c r="F75" s="40"/>
      <c r="G75" s="49"/>
      <c r="H75" s="5">
        <v>13.4</v>
      </c>
      <c r="I75" s="102">
        <f>22/30*14</f>
        <v>10.266666666666666</v>
      </c>
      <c r="J75" s="5">
        <v>30</v>
      </c>
      <c r="K75" s="5"/>
      <c r="L75" s="6">
        <v>50</v>
      </c>
      <c r="M75" s="61">
        <v>22</v>
      </c>
      <c r="N75" s="6">
        <f>(50-22)*0.7</f>
        <v>19.599999999999998</v>
      </c>
    </row>
    <row r="76" spans="1:16">
      <c r="A76" s="44" t="s">
        <v>150</v>
      </c>
      <c r="B76" s="44"/>
      <c r="C76" s="4">
        <v>44899</v>
      </c>
      <c r="D76" s="4"/>
      <c r="E76" s="4">
        <v>44607</v>
      </c>
      <c r="F76" s="12" t="s">
        <v>160</v>
      </c>
      <c r="G76" s="12">
        <v>12.5</v>
      </c>
      <c r="H76" s="5">
        <v>13.4</v>
      </c>
      <c r="I76" s="102">
        <f>71/30*61</f>
        <v>144.36666666666667</v>
      </c>
      <c r="J76" s="5">
        <v>80</v>
      </c>
      <c r="K76" s="5"/>
      <c r="L76" s="6">
        <v>120</v>
      </c>
      <c r="M76" s="61">
        <v>60</v>
      </c>
      <c r="N76" s="6">
        <f>12.5+(120-72.5)*0.7</f>
        <v>45.75</v>
      </c>
    </row>
    <row r="77" spans="1:16">
      <c r="A77" s="44" t="s">
        <v>151</v>
      </c>
      <c r="B77" s="44"/>
      <c r="C77" s="4">
        <v>44926</v>
      </c>
      <c r="D77" s="4"/>
      <c r="E77" s="4">
        <v>44649</v>
      </c>
      <c r="F77" s="40"/>
      <c r="G77" s="40"/>
      <c r="H77" s="5">
        <v>9.0299999999999994</v>
      </c>
      <c r="I77" s="102">
        <f>25*2+25/30*29</f>
        <v>74.166666666666671</v>
      </c>
      <c r="J77" s="5">
        <v>80</v>
      </c>
      <c r="K77" s="5"/>
      <c r="L77" s="6">
        <v>67.5</v>
      </c>
      <c r="M77" s="61">
        <v>25</v>
      </c>
      <c r="N77" s="6">
        <f>(67.5-25)*0.7</f>
        <v>29.749999999999996</v>
      </c>
    </row>
    <row r="78" spans="1:16">
      <c r="A78" s="44" t="s">
        <v>153</v>
      </c>
      <c r="B78" s="44"/>
      <c r="C78" s="4">
        <v>44623</v>
      </c>
      <c r="D78" s="4"/>
      <c r="E78" s="4">
        <v>44623</v>
      </c>
      <c r="F78" s="40"/>
      <c r="G78" s="40"/>
      <c r="H78" s="5">
        <v>11.03</v>
      </c>
      <c r="I78" s="102">
        <v>0</v>
      </c>
      <c r="J78" s="5">
        <v>15</v>
      </c>
      <c r="K78" s="5"/>
      <c r="L78" s="6">
        <v>30</v>
      </c>
      <c r="M78" s="61">
        <v>12</v>
      </c>
      <c r="N78" s="6">
        <f>(L78-M78)*0.7</f>
        <v>12.6</v>
      </c>
    </row>
    <row r="79" spans="1:16">
      <c r="A79" s="44" t="s">
        <v>154</v>
      </c>
      <c r="B79" s="44"/>
      <c r="C79" s="4">
        <v>44881</v>
      </c>
      <c r="D79" s="4"/>
      <c r="E79" s="4">
        <v>44628</v>
      </c>
      <c r="F79" s="40"/>
      <c r="G79" s="40"/>
      <c r="H79" s="5">
        <v>9.0299999999999994</v>
      </c>
      <c r="I79" s="102">
        <f>65*3+65/30*22</f>
        <v>242.66666666666666</v>
      </c>
      <c r="J79" s="5">
        <v>95</v>
      </c>
      <c r="K79" s="5"/>
      <c r="L79" s="6">
        <v>112</v>
      </c>
      <c r="M79" s="61">
        <v>65</v>
      </c>
      <c r="N79" s="6">
        <f>(L79-M79)*0.7</f>
        <v>32.9</v>
      </c>
    </row>
    <row r="80" spans="1:16">
      <c r="A80" s="44" t="s">
        <v>155</v>
      </c>
      <c r="B80" s="44"/>
      <c r="C80" s="4">
        <v>44490</v>
      </c>
      <c r="D80" s="4"/>
      <c r="E80" s="4">
        <v>44648</v>
      </c>
      <c r="F80" s="40"/>
      <c r="G80" s="40"/>
      <c r="H80" s="5">
        <v>13.4</v>
      </c>
      <c r="I80" s="102">
        <f>45*5+45/30*7</f>
        <v>235.5</v>
      </c>
      <c r="J80" s="5">
        <v>80</v>
      </c>
      <c r="K80" s="5"/>
      <c r="L80" s="6">
        <v>67.5</v>
      </c>
      <c r="M80" s="61">
        <v>45</v>
      </c>
      <c r="N80" s="6">
        <f>(L80-M80)*0.7</f>
        <v>15.749999999999998</v>
      </c>
    </row>
    <row r="81" spans="1:14">
      <c r="A81" s="44" t="s">
        <v>156</v>
      </c>
      <c r="B81" s="44"/>
      <c r="C81" s="4">
        <v>44489</v>
      </c>
      <c r="D81" s="4"/>
      <c r="E81" s="4">
        <v>44651</v>
      </c>
      <c r="F81" s="40"/>
      <c r="G81" s="40"/>
      <c r="H81" s="5">
        <v>15.46</v>
      </c>
      <c r="I81" s="102">
        <f>50*5+50/10</f>
        <v>255</v>
      </c>
      <c r="J81" s="5">
        <v>145</v>
      </c>
      <c r="K81" s="5"/>
      <c r="L81" s="6">
        <v>125</v>
      </c>
      <c r="M81" s="61">
        <v>50</v>
      </c>
      <c r="N81" s="6">
        <f>(L81-M81)*0.7</f>
        <v>52.5</v>
      </c>
    </row>
    <row r="82" spans="1:14">
      <c r="A82" s="44" t="s">
        <v>157</v>
      </c>
      <c r="B82" s="44"/>
      <c r="C82" s="4">
        <v>44627</v>
      </c>
      <c r="D82" s="4"/>
      <c r="E82" s="4">
        <v>44627</v>
      </c>
      <c r="F82" s="10" t="s">
        <v>161</v>
      </c>
      <c r="G82" s="12">
        <v>10</v>
      </c>
      <c r="H82" s="5">
        <v>15.46</v>
      </c>
      <c r="I82" s="102">
        <v>0</v>
      </c>
      <c r="J82" s="5">
        <v>0</v>
      </c>
      <c r="K82" s="5"/>
      <c r="L82" s="6">
        <v>100</v>
      </c>
      <c r="M82" s="61">
        <v>44</v>
      </c>
      <c r="N82" s="6">
        <f>10+(46)*0.7</f>
        <v>42.199999999999996</v>
      </c>
    </row>
    <row r="83" spans="1:14">
      <c r="A83" s="44" t="s">
        <v>158</v>
      </c>
      <c r="B83" s="44"/>
      <c r="C83" s="4">
        <v>44627</v>
      </c>
      <c r="D83" s="4"/>
      <c r="E83" s="4">
        <v>44627</v>
      </c>
      <c r="F83" s="10" t="s">
        <v>161</v>
      </c>
      <c r="G83" s="12">
        <v>12.5</v>
      </c>
      <c r="H83" s="5">
        <v>15.46</v>
      </c>
      <c r="I83" s="102">
        <v>0</v>
      </c>
      <c r="J83" s="5">
        <v>0</v>
      </c>
      <c r="K83" s="5"/>
      <c r="L83" s="6">
        <v>125</v>
      </c>
      <c r="M83" s="61">
        <v>55</v>
      </c>
      <c r="N83" s="6">
        <f>12.5+(57.5)*0.7</f>
        <v>52.75</v>
      </c>
    </row>
    <row r="84" spans="1:14">
      <c r="A84" s="44" t="s">
        <v>171</v>
      </c>
      <c r="B84" s="44"/>
      <c r="C84" s="4">
        <v>44648</v>
      </c>
      <c r="D84" s="4"/>
      <c r="E84" s="4">
        <v>44734</v>
      </c>
      <c r="F84" s="40"/>
      <c r="G84" s="5"/>
      <c r="H84" s="5">
        <v>13.72</v>
      </c>
      <c r="I84" s="102">
        <f>56/30*84</f>
        <v>156.80000000000001</v>
      </c>
      <c r="J84" s="5">
        <v>95</v>
      </c>
      <c r="K84" s="5"/>
      <c r="L84" s="6">
        <v>140</v>
      </c>
      <c r="M84" s="61">
        <v>56</v>
      </c>
      <c r="N84" s="6">
        <f>(140-56)*0.7</f>
        <v>58.8</v>
      </c>
    </row>
    <row r="85" spans="1:14">
      <c r="A85" s="44" t="s">
        <v>172</v>
      </c>
      <c r="B85" s="44"/>
      <c r="C85" s="4">
        <v>44705</v>
      </c>
      <c r="D85" s="4"/>
      <c r="E85" s="4">
        <v>44715</v>
      </c>
      <c r="F85" s="40"/>
      <c r="G85" s="5"/>
      <c r="H85" s="5">
        <v>10.039999999999999</v>
      </c>
      <c r="I85" s="102">
        <f>25/30*9</f>
        <v>7.5</v>
      </c>
      <c r="J85" s="5"/>
      <c r="K85" s="5"/>
      <c r="L85" s="6">
        <v>50</v>
      </c>
      <c r="M85" s="61">
        <v>25</v>
      </c>
      <c r="N85" s="6">
        <f>(50-25)*0.7</f>
        <v>17.5</v>
      </c>
    </row>
    <row r="86" spans="1:14">
      <c r="A86" s="44" t="s">
        <v>173</v>
      </c>
      <c r="B86" s="44"/>
      <c r="C86" s="4">
        <v>44704</v>
      </c>
      <c r="D86" s="4"/>
      <c r="E86" s="4">
        <v>44721</v>
      </c>
      <c r="F86" s="10" t="s">
        <v>161</v>
      </c>
      <c r="G86" s="56">
        <v>12.5</v>
      </c>
      <c r="H86" s="5">
        <v>13.72</v>
      </c>
      <c r="I86" s="102">
        <f>37/30*16</f>
        <v>19.733333333333334</v>
      </c>
      <c r="J86" s="5">
        <f>50+45</f>
        <v>95</v>
      </c>
      <c r="K86" s="5"/>
      <c r="L86" s="6">
        <v>110</v>
      </c>
      <c r="M86" s="61">
        <v>37</v>
      </c>
      <c r="N86" s="56">
        <f>12.5+(97.5-37)*0.7</f>
        <v>54.849999999999994</v>
      </c>
    </row>
    <row r="87" spans="1:14">
      <c r="A87" s="44" t="s">
        <v>174</v>
      </c>
      <c r="B87" s="44"/>
      <c r="C87" s="4">
        <v>44715</v>
      </c>
      <c r="D87" s="4"/>
      <c r="E87" s="4">
        <v>44820</v>
      </c>
      <c r="F87" s="10" t="s">
        <v>161</v>
      </c>
      <c r="G87" s="56">
        <v>15</v>
      </c>
      <c r="H87" s="5">
        <v>14.6</v>
      </c>
      <c r="I87" s="102">
        <f>56/30*103</f>
        <v>192.26666666666668</v>
      </c>
      <c r="J87" s="5">
        <v>50</v>
      </c>
      <c r="K87" s="5"/>
      <c r="L87" s="6">
        <f>130</f>
        <v>130</v>
      </c>
      <c r="M87" s="61">
        <v>56</v>
      </c>
      <c r="N87" s="56">
        <f>15+(115-56)*0.7</f>
        <v>56.3</v>
      </c>
    </row>
    <row r="88" spans="1:14">
      <c r="A88" s="44" t="s">
        <v>183</v>
      </c>
      <c r="B88" s="44"/>
      <c r="C88" s="4">
        <v>44749</v>
      </c>
      <c r="D88" s="4">
        <v>44830</v>
      </c>
      <c r="E88" s="4">
        <v>44858</v>
      </c>
      <c r="F88" s="40"/>
      <c r="G88" s="5"/>
      <c r="H88" s="5">
        <v>11.03</v>
      </c>
      <c r="I88" s="102">
        <v>25</v>
      </c>
      <c r="J88" s="5">
        <v>15</v>
      </c>
      <c r="K88" s="5"/>
      <c r="L88" s="6">
        <v>80</v>
      </c>
      <c r="M88" s="61">
        <v>25</v>
      </c>
      <c r="N88" s="6">
        <f>55*0.7</f>
        <v>38.5</v>
      </c>
    </row>
    <row r="89" spans="1:14">
      <c r="A89" s="44" t="s">
        <v>184</v>
      </c>
      <c r="B89" s="44"/>
      <c r="C89" s="4">
        <v>44775</v>
      </c>
      <c r="D89" s="4">
        <v>44810</v>
      </c>
      <c r="E89" s="4">
        <v>44848</v>
      </c>
      <c r="F89" s="40"/>
      <c r="G89" s="5"/>
      <c r="H89" s="5">
        <v>23.38</v>
      </c>
      <c r="I89" s="102">
        <f>100/30*38</f>
        <v>126.66666666666667</v>
      </c>
      <c r="J89" s="5">
        <v>155</v>
      </c>
      <c r="K89" s="5"/>
      <c r="L89" s="6">
        <v>220</v>
      </c>
      <c r="M89" s="61">
        <v>100</v>
      </c>
      <c r="N89" s="6">
        <v>90.75</v>
      </c>
    </row>
    <row r="90" spans="1:14">
      <c r="A90" s="44" t="s">
        <v>185</v>
      </c>
      <c r="B90" s="44"/>
      <c r="C90" s="4">
        <v>44830</v>
      </c>
      <c r="D90" s="4">
        <v>44852</v>
      </c>
      <c r="E90" s="4">
        <v>44858</v>
      </c>
      <c r="F90" s="10" t="s">
        <v>161</v>
      </c>
      <c r="G90" s="12">
        <v>15</v>
      </c>
      <c r="H90" s="5">
        <v>23.38</v>
      </c>
      <c r="I90" s="102">
        <f>54.5/30*6</f>
        <v>10.9</v>
      </c>
      <c r="J90" s="5">
        <v>95</v>
      </c>
      <c r="K90" s="5"/>
      <c r="L90" s="6">
        <v>160</v>
      </c>
      <c r="M90" s="61">
        <v>64.5</v>
      </c>
      <c r="N90" s="6">
        <f>15+(145-64.5)*0.7</f>
        <v>71.349999999999994</v>
      </c>
    </row>
    <row r="91" spans="1:14">
      <c r="A91" s="44" t="s">
        <v>190</v>
      </c>
      <c r="B91" s="44"/>
      <c r="C91" s="4"/>
      <c r="D91" s="4">
        <v>44879</v>
      </c>
      <c r="E91" s="35">
        <v>44887</v>
      </c>
      <c r="F91" s="44" t="s">
        <v>161</v>
      </c>
      <c r="G91" s="56">
        <v>10</v>
      </c>
      <c r="H91" s="5">
        <v>14.6</v>
      </c>
      <c r="I91" s="102">
        <f>34/30*8</f>
        <v>9.0666666666666664</v>
      </c>
      <c r="J91" s="5">
        <v>45</v>
      </c>
      <c r="K91" s="5"/>
      <c r="L91" s="6">
        <v>90</v>
      </c>
      <c r="M91" s="61">
        <v>34</v>
      </c>
      <c r="N91" s="56">
        <f>10+(80-34)*0.7</f>
        <v>42.199999999999996</v>
      </c>
    </row>
    <row r="92" spans="1:14">
      <c r="A92" s="44" t="s">
        <v>193</v>
      </c>
      <c r="B92" s="44"/>
      <c r="C92" s="4">
        <v>44872</v>
      </c>
      <c r="D92" s="4">
        <v>44879</v>
      </c>
      <c r="E92" s="35">
        <v>44882</v>
      </c>
      <c r="F92" s="40"/>
      <c r="G92" s="5"/>
      <c r="H92" s="5">
        <v>10.039999999999999</v>
      </c>
      <c r="I92" s="102">
        <f>25/30*3</f>
        <v>2.5</v>
      </c>
      <c r="J92" s="5"/>
      <c r="K92" s="5"/>
      <c r="L92" s="6">
        <v>40</v>
      </c>
      <c r="M92" s="61">
        <v>25</v>
      </c>
      <c r="N92" s="6">
        <f>(L92-M92)*0.7</f>
        <v>10.5</v>
      </c>
    </row>
    <row r="93" spans="1:14">
      <c r="A93" s="44" t="s">
        <v>213</v>
      </c>
      <c r="B93" s="44"/>
      <c r="C93" s="4">
        <v>44894</v>
      </c>
      <c r="D93" s="4">
        <v>44908</v>
      </c>
      <c r="E93" s="35">
        <v>44944</v>
      </c>
      <c r="F93" s="40" t="s">
        <v>161</v>
      </c>
      <c r="G93" s="5">
        <v>15</v>
      </c>
      <c r="H93" s="5">
        <v>31.72</v>
      </c>
      <c r="I93" s="102">
        <f>50/30*35</f>
        <v>58.333333333333336</v>
      </c>
      <c r="J93" s="5">
        <f>60+50</f>
        <v>110</v>
      </c>
      <c r="K93" s="5"/>
      <c r="L93" s="6">
        <v>130</v>
      </c>
      <c r="M93" s="61">
        <f>19+2+3.5*2+11*2</f>
        <v>50</v>
      </c>
      <c r="N93" s="94">
        <f>15+(L93-M93-15)*0.7</f>
        <v>60.5</v>
      </c>
    </row>
    <row r="94" spans="1:14">
      <c r="A94" s="44" t="s">
        <v>227</v>
      </c>
      <c r="B94" s="44"/>
      <c r="C94" s="4">
        <v>44949</v>
      </c>
      <c r="D94" s="4">
        <v>44953</v>
      </c>
      <c r="E94" s="35">
        <v>44966</v>
      </c>
      <c r="F94" s="40" t="s">
        <v>160</v>
      </c>
      <c r="G94" s="5">
        <v>15</v>
      </c>
      <c r="H94" s="5">
        <v>16.38</v>
      </c>
      <c r="I94" s="102">
        <f>61.5/30*12</f>
        <v>24.599999999999998</v>
      </c>
      <c r="J94" s="5">
        <f>50+60</f>
        <v>110</v>
      </c>
      <c r="K94" s="5"/>
      <c r="L94" s="6">
        <v>160</v>
      </c>
      <c r="M94" s="65">
        <f>32.5+7+22</f>
        <v>61.5</v>
      </c>
      <c r="N94" s="59">
        <f>15+(L94-M94-15)*0.7</f>
        <v>73.449999999999989</v>
      </c>
    </row>
    <row r="95" spans="1:14">
      <c r="A95" s="44" t="s">
        <v>228</v>
      </c>
      <c r="B95" s="44"/>
      <c r="C95" s="4">
        <v>44957</v>
      </c>
      <c r="D95" s="4">
        <v>44957</v>
      </c>
      <c r="E95" s="35">
        <v>44977</v>
      </c>
      <c r="F95" s="40"/>
      <c r="G95" s="5"/>
      <c r="H95" s="5">
        <v>20.61</v>
      </c>
      <c r="I95" s="102">
        <f>66/30*20</f>
        <v>44</v>
      </c>
      <c r="J95" s="5">
        <v>90</v>
      </c>
      <c r="K95" s="5"/>
      <c r="L95" s="6">
        <v>155</v>
      </c>
      <c r="M95" s="65">
        <v>54</v>
      </c>
      <c r="N95" s="59">
        <f>(L95-M95)*0.7</f>
        <v>70.699999999999989</v>
      </c>
    </row>
    <row r="96" spans="1:14">
      <c r="A96" s="44" t="s">
        <v>255</v>
      </c>
      <c r="B96" s="44"/>
      <c r="C96" s="35">
        <v>44691</v>
      </c>
      <c r="D96" s="35">
        <v>44994</v>
      </c>
      <c r="E96" s="4">
        <v>44994</v>
      </c>
      <c r="F96" s="40"/>
      <c r="G96" s="40"/>
      <c r="H96" s="5">
        <v>11.03</v>
      </c>
      <c r="I96" s="102">
        <f>25*14</f>
        <v>350</v>
      </c>
      <c r="J96" s="40">
        <f>30+50</f>
        <v>80</v>
      </c>
      <c r="K96" s="40"/>
      <c r="L96" s="6">
        <v>90</v>
      </c>
      <c r="M96" s="6">
        <v>25</v>
      </c>
      <c r="N96" s="59">
        <v>48.5</v>
      </c>
    </row>
    <row r="97" spans="1:16">
      <c r="A97" s="44" t="s">
        <v>187</v>
      </c>
      <c r="B97" s="44"/>
      <c r="C97" s="35"/>
      <c r="D97" s="35">
        <v>44991</v>
      </c>
      <c r="E97" s="4">
        <v>44991</v>
      </c>
      <c r="F97" s="40"/>
      <c r="G97" s="40"/>
      <c r="H97" s="5">
        <v>13.31</v>
      </c>
      <c r="I97" s="102"/>
      <c r="J97" s="40">
        <v>45</v>
      </c>
      <c r="K97" s="40"/>
      <c r="L97" s="6">
        <v>80</v>
      </c>
      <c r="M97" s="6">
        <v>27</v>
      </c>
      <c r="N97" s="59">
        <f>(L97-M97)*0.7</f>
        <v>37.099999999999994</v>
      </c>
    </row>
    <row r="98" spans="1:16">
      <c r="A98" s="76" t="s">
        <v>276</v>
      </c>
      <c r="B98" s="44"/>
      <c r="C98" s="35">
        <v>45061</v>
      </c>
      <c r="D98" s="35">
        <v>45070</v>
      </c>
      <c r="E98" s="4"/>
      <c r="F98" s="40"/>
      <c r="G98" s="40"/>
      <c r="H98" s="5">
        <v>11.48</v>
      </c>
      <c r="I98" s="102">
        <f>21/30*9</f>
        <v>6.3</v>
      </c>
      <c r="J98" s="40"/>
      <c r="K98" s="40"/>
      <c r="L98" s="17">
        <f>50</f>
        <v>50</v>
      </c>
      <c r="M98" s="18">
        <v>21</v>
      </c>
      <c r="N98" s="70">
        <f>(50-21)*0.7</f>
        <v>20.299999999999997</v>
      </c>
    </row>
    <row r="99" spans="1:16">
      <c r="A99" s="76" t="s">
        <v>279</v>
      </c>
      <c r="B99" s="44"/>
      <c r="C99" s="35">
        <v>45065</v>
      </c>
      <c r="D99" s="35">
        <v>45070</v>
      </c>
      <c r="E99" s="4"/>
      <c r="F99" s="40"/>
      <c r="G99" s="40"/>
      <c r="H99" s="5">
        <v>11.48</v>
      </c>
      <c r="I99" s="102">
        <f>21/30*5</f>
        <v>3.5</v>
      </c>
      <c r="J99" s="40"/>
      <c r="K99" s="40"/>
      <c r="L99" s="17">
        <f>50</f>
        <v>50</v>
      </c>
      <c r="M99" s="18">
        <v>21</v>
      </c>
      <c r="N99" s="70">
        <f>(50-21)*0.7</f>
        <v>20.299999999999997</v>
      </c>
    </row>
    <row r="100" spans="1:16">
      <c r="A100" s="76" t="s">
        <v>278</v>
      </c>
      <c r="B100" s="52"/>
      <c r="C100" s="57">
        <v>44973</v>
      </c>
      <c r="D100" s="57">
        <v>45070</v>
      </c>
      <c r="E100" s="24"/>
      <c r="F100" s="48"/>
      <c r="G100" s="48"/>
      <c r="H100" s="25">
        <v>11.48</v>
      </c>
      <c r="I100" s="103">
        <f>21/30*98</f>
        <v>68.599999999999994</v>
      </c>
      <c r="J100" s="48"/>
      <c r="K100" s="48"/>
      <c r="L100" s="17">
        <v>50</v>
      </c>
      <c r="M100" s="26">
        <v>21</v>
      </c>
      <c r="N100" s="85">
        <f>(50-21)*0.7</f>
        <v>20.299999999999997</v>
      </c>
    </row>
    <row r="101" spans="1:16">
      <c r="A101" s="44" t="s">
        <v>289</v>
      </c>
      <c r="B101" s="44"/>
      <c r="C101" s="35">
        <v>45110</v>
      </c>
      <c r="D101" s="35">
        <v>45127</v>
      </c>
      <c r="E101" s="4">
        <v>45110</v>
      </c>
      <c r="F101" s="40"/>
      <c r="G101" s="40"/>
      <c r="H101" s="5">
        <v>13.31</v>
      </c>
      <c r="I101" s="102">
        <f>27/30*17</f>
        <v>15.3</v>
      </c>
      <c r="J101" s="40">
        <v>45</v>
      </c>
      <c r="K101" s="40"/>
      <c r="L101" s="6">
        <v>75</v>
      </c>
      <c r="M101" s="6">
        <v>27</v>
      </c>
      <c r="N101" s="59">
        <f>(L101-M101)*0.7</f>
        <v>33.599999999999994</v>
      </c>
    </row>
    <row r="102" spans="1:16">
      <c r="A102" s="44" t="s">
        <v>292</v>
      </c>
      <c r="B102" s="44"/>
      <c r="C102" s="35">
        <v>45138</v>
      </c>
      <c r="D102" s="35">
        <v>45139</v>
      </c>
      <c r="E102" s="35">
        <v>45162</v>
      </c>
      <c r="F102" s="40"/>
      <c r="G102" s="40"/>
      <c r="H102" s="5">
        <v>12.48</v>
      </c>
      <c r="I102" s="102">
        <f>27/30*23</f>
        <v>20.7</v>
      </c>
      <c r="J102" s="40">
        <v>45</v>
      </c>
      <c r="K102" s="40"/>
      <c r="L102" s="6">
        <v>90</v>
      </c>
      <c r="M102" s="6">
        <v>27</v>
      </c>
      <c r="N102" s="59">
        <f>(L102-M102)*0.7</f>
        <v>44.099999999999994</v>
      </c>
    </row>
    <row r="103" spans="1:16">
      <c r="A103" s="44" t="s">
        <v>293</v>
      </c>
      <c r="B103" s="44"/>
      <c r="C103" s="35">
        <v>45086</v>
      </c>
      <c r="D103" s="35">
        <v>45089</v>
      </c>
      <c r="E103" s="4">
        <v>45103</v>
      </c>
      <c r="F103" s="40"/>
      <c r="G103" s="40"/>
      <c r="H103" s="5">
        <v>11.03</v>
      </c>
      <c r="I103" s="102">
        <f>21/30*14</f>
        <v>9.7999999999999989</v>
      </c>
      <c r="J103" s="40"/>
      <c r="K103" s="40"/>
      <c r="L103" s="6">
        <v>50</v>
      </c>
      <c r="M103" s="6">
        <v>21</v>
      </c>
      <c r="N103" s="59">
        <f>(L103-M103)*0.7</f>
        <v>20.299999999999997</v>
      </c>
    </row>
    <row r="104" spans="1:16">
      <c r="A104" s="44" t="s">
        <v>295</v>
      </c>
      <c r="B104" s="44"/>
      <c r="C104" s="35">
        <v>45228</v>
      </c>
      <c r="D104" s="35">
        <v>45203</v>
      </c>
      <c r="E104" s="4"/>
      <c r="F104" s="40"/>
      <c r="G104" s="40"/>
      <c r="H104" s="5">
        <v>13.31</v>
      </c>
      <c r="I104" s="102">
        <f>27/30*5</f>
        <v>4.5</v>
      </c>
      <c r="J104" s="40">
        <v>45</v>
      </c>
      <c r="K104" s="40"/>
      <c r="L104" s="6">
        <v>80</v>
      </c>
      <c r="M104" s="6">
        <v>27</v>
      </c>
      <c r="N104" s="59">
        <f>(L104-M104)*0.7</f>
        <v>37.099999999999994</v>
      </c>
    </row>
    <row r="105" spans="1:16">
      <c r="A105" s="44" t="s">
        <v>320</v>
      </c>
      <c r="B105" s="44"/>
      <c r="C105" s="35">
        <v>45177</v>
      </c>
      <c r="D105" s="35">
        <v>45196</v>
      </c>
      <c r="E105" s="4"/>
      <c r="F105" s="40"/>
      <c r="G105" s="40"/>
      <c r="H105" s="5">
        <v>10.44</v>
      </c>
      <c r="I105" s="102">
        <f>38/30*21</f>
        <v>26.599999999999998</v>
      </c>
      <c r="J105" s="40"/>
      <c r="K105" s="40"/>
      <c r="L105" s="6">
        <v>69</v>
      </c>
      <c r="M105" s="6">
        <v>38</v>
      </c>
      <c r="N105" s="59">
        <f>(69-38)*0.7</f>
        <v>21.7</v>
      </c>
    </row>
    <row r="106" spans="1:16">
      <c r="A106" s="44" t="s">
        <v>325</v>
      </c>
      <c r="B106" s="44"/>
      <c r="C106" s="35"/>
      <c r="D106" s="35">
        <v>45223</v>
      </c>
      <c r="E106" s="4">
        <v>45239</v>
      </c>
      <c r="F106" s="40"/>
      <c r="G106" s="40"/>
      <c r="H106" s="5">
        <v>40</v>
      </c>
      <c r="I106" s="102">
        <f>43/30*15</f>
        <v>21.5</v>
      </c>
      <c r="J106" s="40"/>
      <c r="K106" s="40"/>
      <c r="L106" s="6">
        <v>69</v>
      </c>
      <c r="M106" s="6">
        <v>43</v>
      </c>
      <c r="N106" s="94">
        <f>(69-43)*0.7</f>
        <v>18.2</v>
      </c>
      <c r="O106" s="72" t="s">
        <v>329</v>
      </c>
      <c r="P106" s="72">
        <v>12.74</v>
      </c>
    </row>
    <row r="107" spans="1:16">
      <c r="A107" s="44" t="s">
        <v>326</v>
      </c>
      <c r="B107" s="44"/>
      <c r="C107" s="35"/>
      <c r="D107" s="35">
        <v>45188</v>
      </c>
      <c r="E107" s="4">
        <v>45209</v>
      </c>
      <c r="F107" s="40"/>
      <c r="G107" s="40"/>
      <c r="H107" s="5">
        <v>11.48</v>
      </c>
      <c r="I107" s="102"/>
      <c r="J107" s="40"/>
      <c r="K107" s="40"/>
      <c r="L107" s="6">
        <v>59</v>
      </c>
      <c r="M107" s="6">
        <v>38</v>
      </c>
      <c r="N107" s="59">
        <f>(L107-M107)*0.7</f>
        <v>14.7</v>
      </c>
    </row>
    <row r="108" spans="1:16">
      <c r="A108" s="44" t="s">
        <v>108</v>
      </c>
      <c r="B108" s="44"/>
      <c r="C108" s="35"/>
      <c r="D108" s="35">
        <v>45231</v>
      </c>
      <c r="E108" s="4">
        <v>45231</v>
      </c>
      <c r="F108" s="40"/>
      <c r="G108" s="40"/>
      <c r="H108" s="5"/>
      <c r="I108" s="102"/>
      <c r="J108" s="40"/>
      <c r="K108" s="40"/>
      <c r="L108" s="6">
        <v>69</v>
      </c>
      <c r="M108" s="6">
        <v>43</v>
      </c>
      <c r="N108" s="59">
        <f>(L108-M108)*0.7</f>
        <v>18.2</v>
      </c>
    </row>
    <row r="109" spans="1:16">
      <c r="A109" s="44" t="s">
        <v>327</v>
      </c>
      <c r="B109" s="44"/>
      <c r="C109" s="35"/>
      <c r="D109" s="35"/>
      <c r="E109" s="4">
        <v>45127</v>
      </c>
      <c r="F109" s="40"/>
      <c r="G109" s="40"/>
      <c r="H109" s="5">
        <v>11.48</v>
      </c>
      <c r="I109" s="102"/>
      <c r="J109" s="40"/>
      <c r="K109" s="40"/>
      <c r="L109" s="6">
        <v>25</v>
      </c>
      <c r="M109" s="6">
        <v>9</v>
      </c>
      <c r="N109" s="59">
        <f>(L109-M109)*0.7</f>
        <v>11.2</v>
      </c>
    </row>
    <row r="110" spans="1:16">
      <c r="A110" s="44" t="s">
        <v>336</v>
      </c>
      <c r="B110" s="44"/>
      <c r="C110" s="35"/>
      <c r="D110" s="35">
        <v>45278</v>
      </c>
      <c r="E110" s="4">
        <v>45278</v>
      </c>
      <c r="F110" s="40"/>
      <c r="G110" s="40"/>
      <c r="H110" s="5"/>
      <c r="I110" s="102"/>
      <c r="J110" s="40"/>
      <c r="K110" s="40"/>
      <c r="L110" s="6">
        <v>69</v>
      </c>
      <c r="M110" s="6">
        <v>43</v>
      </c>
      <c r="N110" s="59">
        <f>(69-43)*0.7/30*42</f>
        <v>25.48</v>
      </c>
    </row>
    <row r="111" spans="1:16">
      <c r="A111" s="44" t="s">
        <v>337</v>
      </c>
      <c r="B111" s="44"/>
      <c r="C111" s="35">
        <v>45342</v>
      </c>
      <c r="D111" s="35">
        <v>44977</v>
      </c>
      <c r="E111" s="4">
        <v>45342</v>
      </c>
      <c r="F111" s="40"/>
      <c r="G111" s="40"/>
      <c r="H111" s="5">
        <v>13.78</v>
      </c>
      <c r="I111" s="102"/>
      <c r="J111" s="40">
        <f>45+50</f>
        <v>95</v>
      </c>
      <c r="K111" s="40"/>
      <c r="L111" s="6">
        <v>100</v>
      </c>
      <c r="M111" s="6">
        <v>38.5</v>
      </c>
      <c r="N111" s="59">
        <f t="shared" ref="N111:N132" si="2">(L111-M111)*0.7</f>
        <v>43.05</v>
      </c>
    </row>
    <row r="112" spans="1:16">
      <c r="A112" s="44" t="s">
        <v>338</v>
      </c>
      <c r="B112" s="44"/>
      <c r="C112" s="35">
        <v>45271</v>
      </c>
      <c r="D112" s="35"/>
      <c r="E112" s="4">
        <v>45301</v>
      </c>
      <c r="F112" s="40"/>
      <c r="G112" s="40"/>
      <c r="H112" s="5">
        <v>14.26</v>
      </c>
      <c r="I112" s="102">
        <f>25/30*29</f>
        <v>24.166666666666668</v>
      </c>
      <c r="J112" s="40">
        <f>30+50</f>
        <v>80</v>
      </c>
      <c r="K112" s="40"/>
      <c r="L112" s="6">
        <v>80</v>
      </c>
      <c r="M112" s="6">
        <v>29</v>
      </c>
      <c r="N112" s="59">
        <f t="shared" si="2"/>
        <v>35.699999999999996</v>
      </c>
      <c r="O112" t="s">
        <v>339</v>
      </c>
    </row>
    <row r="113" spans="1:14">
      <c r="A113" s="44" t="s">
        <v>333</v>
      </c>
      <c r="B113" s="44"/>
      <c r="C113" s="35"/>
      <c r="D113" s="35"/>
      <c r="E113" s="4">
        <v>45336</v>
      </c>
      <c r="F113" s="40"/>
      <c r="G113" s="40"/>
      <c r="H113" s="5">
        <v>10</v>
      </c>
      <c r="I113" s="102">
        <v>0</v>
      </c>
      <c r="J113" s="40">
        <v>120</v>
      </c>
      <c r="K113" s="40"/>
      <c r="L113" s="6">
        <v>160</v>
      </c>
      <c r="M113" s="6">
        <v>72</v>
      </c>
      <c r="N113" s="59">
        <f t="shared" si="2"/>
        <v>61.599999999999994</v>
      </c>
    </row>
    <row r="114" spans="1:14">
      <c r="A114" s="44" t="s">
        <v>343</v>
      </c>
      <c r="B114" s="44"/>
      <c r="C114" s="35"/>
      <c r="D114" s="35"/>
      <c r="E114" s="4">
        <v>45336</v>
      </c>
      <c r="F114" s="40"/>
      <c r="G114" s="40"/>
      <c r="H114" s="5">
        <v>10.92</v>
      </c>
      <c r="I114" s="102"/>
      <c r="J114" s="40"/>
      <c r="K114" s="40"/>
      <c r="L114" s="6">
        <v>59</v>
      </c>
      <c r="M114" s="6">
        <v>38</v>
      </c>
      <c r="N114" s="59">
        <f t="shared" si="2"/>
        <v>14.7</v>
      </c>
    </row>
    <row r="115" spans="1:14">
      <c r="A115" s="44" t="s">
        <v>381</v>
      </c>
      <c r="B115" s="44"/>
      <c r="C115" s="35"/>
      <c r="D115" s="35">
        <v>45323</v>
      </c>
      <c r="E115" s="4">
        <v>45323</v>
      </c>
      <c r="F115" s="40"/>
      <c r="G115" s="40"/>
      <c r="H115" s="5">
        <v>10.92</v>
      </c>
      <c r="I115" s="102"/>
      <c r="J115" s="40"/>
      <c r="K115" s="40"/>
      <c r="L115" s="6">
        <v>59</v>
      </c>
      <c r="M115" s="6">
        <v>38</v>
      </c>
      <c r="N115" s="59">
        <f t="shared" si="2"/>
        <v>14.7</v>
      </c>
    </row>
    <row r="116" spans="1:14">
      <c r="A116" s="44" t="s">
        <v>345</v>
      </c>
      <c r="B116" s="44"/>
      <c r="C116" s="35"/>
      <c r="D116" s="35"/>
      <c r="E116" s="4">
        <v>45345</v>
      </c>
      <c r="F116" s="40"/>
      <c r="G116" s="40"/>
      <c r="H116" s="5">
        <v>24.2</v>
      </c>
      <c r="I116" s="102"/>
      <c r="J116" s="40">
        <v>45</v>
      </c>
      <c r="K116" s="40"/>
      <c r="L116" s="6">
        <v>90</v>
      </c>
      <c r="M116" s="6">
        <f>7+9</f>
        <v>16</v>
      </c>
      <c r="N116" s="59">
        <f t="shared" si="2"/>
        <v>51.8</v>
      </c>
    </row>
    <row r="117" spans="1:14">
      <c r="A117" s="44" t="s">
        <v>346</v>
      </c>
      <c r="B117" s="44"/>
      <c r="C117" s="35"/>
      <c r="D117" s="35"/>
      <c r="E117" s="4">
        <v>45334</v>
      </c>
      <c r="F117" s="40"/>
      <c r="G117" s="40"/>
      <c r="H117" s="5">
        <v>12.01</v>
      </c>
      <c r="I117" s="102"/>
      <c r="J117" s="40">
        <v>15</v>
      </c>
      <c r="K117" s="40"/>
      <c r="L117" s="6">
        <v>20</v>
      </c>
      <c r="M117" s="6">
        <v>9</v>
      </c>
      <c r="N117" s="70">
        <f t="shared" si="2"/>
        <v>7.6999999999999993</v>
      </c>
    </row>
    <row r="118" spans="1:14">
      <c r="A118" s="44" t="s">
        <v>361</v>
      </c>
      <c r="B118" s="44"/>
      <c r="C118" s="35"/>
      <c r="D118" s="35">
        <v>45366</v>
      </c>
      <c r="E118" s="4">
        <v>45385</v>
      </c>
      <c r="F118" s="40"/>
      <c r="G118" s="40"/>
      <c r="H118" s="5"/>
      <c r="I118" s="102">
        <f>69/30*18</f>
        <v>41.4</v>
      </c>
      <c r="J118" s="40"/>
      <c r="K118" s="40"/>
      <c r="L118" s="6">
        <v>69</v>
      </c>
      <c r="M118" s="6">
        <v>43</v>
      </c>
      <c r="N118" s="70">
        <f t="shared" si="2"/>
        <v>18.2</v>
      </c>
    </row>
    <row r="119" spans="1:14">
      <c r="A119" s="44" t="s">
        <v>365</v>
      </c>
      <c r="B119" s="44"/>
      <c r="C119" s="35"/>
      <c r="D119" s="35">
        <v>45450</v>
      </c>
      <c r="E119" s="4">
        <v>45456</v>
      </c>
      <c r="F119" s="40"/>
      <c r="G119" s="40"/>
      <c r="H119" s="5"/>
      <c r="I119" s="102">
        <f>47/30*5</f>
        <v>7.833333333333333</v>
      </c>
      <c r="J119" s="40"/>
      <c r="K119" s="40"/>
      <c r="L119" s="6">
        <v>69</v>
      </c>
      <c r="M119" s="6">
        <v>47</v>
      </c>
      <c r="N119" s="59">
        <f t="shared" si="2"/>
        <v>15.399999999999999</v>
      </c>
    </row>
    <row r="120" spans="1:14">
      <c r="A120" s="44" t="s">
        <v>358</v>
      </c>
      <c r="B120" s="44"/>
      <c r="C120" s="35"/>
      <c r="D120" s="35">
        <v>45468</v>
      </c>
      <c r="E120" s="4">
        <v>45468</v>
      </c>
      <c r="F120" s="40"/>
      <c r="G120" s="40"/>
      <c r="H120" s="5">
        <v>12.01</v>
      </c>
      <c r="I120" s="102"/>
      <c r="J120" s="40"/>
      <c r="K120" s="40"/>
      <c r="L120" s="6">
        <v>59</v>
      </c>
      <c r="M120" s="6">
        <v>38</v>
      </c>
      <c r="N120" s="59">
        <f t="shared" si="2"/>
        <v>14.7</v>
      </c>
    </row>
    <row r="121" spans="1:14">
      <c r="A121" s="44" t="s">
        <v>218</v>
      </c>
      <c r="B121" s="44"/>
      <c r="C121" s="35"/>
      <c r="D121" s="35">
        <v>45456</v>
      </c>
      <c r="E121" s="4">
        <v>45456</v>
      </c>
      <c r="F121" s="40"/>
      <c r="G121" s="40"/>
      <c r="H121" s="5">
        <v>10</v>
      </c>
      <c r="I121" s="102"/>
      <c r="J121" s="40">
        <v>45</v>
      </c>
      <c r="K121" s="40"/>
      <c r="L121" s="6">
        <v>80</v>
      </c>
      <c r="M121" s="6">
        <v>27</v>
      </c>
      <c r="N121" s="59">
        <f t="shared" si="2"/>
        <v>37.099999999999994</v>
      </c>
    </row>
    <row r="122" spans="1:14">
      <c r="A122" s="44" t="s">
        <v>366</v>
      </c>
      <c r="B122" s="44"/>
      <c r="C122" s="35"/>
      <c r="D122" s="35">
        <v>45454</v>
      </c>
      <c r="E122" s="4"/>
      <c r="F122" s="40"/>
      <c r="G122" s="40"/>
      <c r="H122" s="5"/>
      <c r="I122" s="102"/>
      <c r="J122" s="40"/>
      <c r="K122" s="40"/>
      <c r="L122" s="6">
        <v>59</v>
      </c>
      <c r="M122" s="6">
        <v>38</v>
      </c>
      <c r="N122" s="59">
        <f t="shared" si="2"/>
        <v>14.7</v>
      </c>
    </row>
    <row r="123" spans="1:14">
      <c r="A123" s="44" t="s">
        <v>64</v>
      </c>
      <c r="B123" s="44"/>
      <c r="C123" s="35"/>
      <c r="D123" s="35">
        <v>45469</v>
      </c>
      <c r="E123" s="4">
        <v>45469</v>
      </c>
      <c r="F123" s="40"/>
      <c r="G123" s="40"/>
      <c r="H123" s="5"/>
      <c r="I123" s="102"/>
      <c r="J123" s="40"/>
      <c r="K123" s="40"/>
      <c r="L123" s="6">
        <v>100</v>
      </c>
      <c r="M123" s="18">
        <v>5</v>
      </c>
      <c r="N123" s="59">
        <f t="shared" si="2"/>
        <v>66.5</v>
      </c>
    </row>
    <row r="124" spans="1:14">
      <c r="A124" s="44" t="s">
        <v>369</v>
      </c>
      <c r="B124" s="44"/>
      <c r="C124" s="35"/>
      <c r="D124" s="35">
        <v>45464</v>
      </c>
      <c r="E124" s="4">
        <v>41811</v>
      </c>
      <c r="F124" s="40"/>
      <c r="G124" s="40"/>
      <c r="H124" s="5">
        <v>24.98</v>
      </c>
      <c r="I124" s="102"/>
      <c r="J124" s="40">
        <v>15</v>
      </c>
      <c r="K124" s="40"/>
      <c r="L124" s="6">
        <v>80</v>
      </c>
      <c r="M124" s="6">
        <v>42.5</v>
      </c>
      <c r="N124" s="59">
        <f t="shared" si="2"/>
        <v>26.25</v>
      </c>
    </row>
    <row r="125" spans="1:14">
      <c r="A125" s="44" t="s">
        <v>370</v>
      </c>
      <c r="B125" s="44"/>
      <c r="C125" s="35"/>
      <c r="D125" s="35">
        <v>45444</v>
      </c>
      <c r="E125" s="4">
        <v>41791</v>
      </c>
      <c r="F125" s="40"/>
      <c r="G125" s="40"/>
      <c r="H125" s="5">
        <v>12.98</v>
      </c>
      <c r="I125" s="102"/>
      <c r="J125" s="40">
        <v>30</v>
      </c>
      <c r="K125" s="40"/>
      <c r="L125" s="6">
        <v>65</v>
      </c>
      <c r="M125" s="6">
        <v>18</v>
      </c>
      <c r="N125" s="59">
        <f t="shared" si="2"/>
        <v>32.9</v>
      </c>
    </row>
    <row r="126" spans="1:14">
      <c r="A126" s="44" t="s">
        <v>375</v>
      </c>
      <c r="B126" s="44"/>
      <c r="C126" s="35"/>
      <c r="D126" s="35">
        <v>45471</v>
      </c>
      <c r="E126" s="35">
        <v>45471</v>
      </c>
      <c r="F126" s="40"/>
      <c r="G126" s="40"/>
      <c r="H126" s="5">
        <f>10+12.01</f>
        <v>22.009999999999998</v>
      </c>
      <c r="I126" s="102"/>
      <c r="J126" s="40">
        <v>30</v>
      </c>
      <c r="K126" s="40"/>
      <c r="L126" s="6">
        <v>90</v>
      </c>
      <c r="M126" s="18">
        <f>38.5+1+18</f>
        <v>57.5</v>
      </c>
      <c r="N126" s="70">
        <f t="shared" si="2"/>
        <v>22.75</v>
      </c>
    </row>
    <row r="127" spans="1:14">
      <c r="A127" s="44" t="s">
        <v>83</v>
      </c>
      <c r="B127" s="44"/>
      <c r="C127" s="35"/>
      <c r="D127" s="35">
        <v>45482</v>
      </c>
      <c r="E127" s="35">
        <v>45482</v>
      </c>
      <c r="F127" s="40"/>
      <c r="G127" s="40"/>
      <c r="H127" s="5"/>
      <c r="I127" s="102"/>
      <c r="J127" s="40"/>
      <c r="K127" s="40"/>
      <c r="L127" s="6">
        <v>69</v>
      </c>
      <c r="M127" s="18">
        <v>43</v>
      </c>
      <c r="N127" s="70">
        <f t="shared" si="2"/>
        <v>18.2</v>
      </c>
    </row>
    <row r="128" spans="1:14">
      <c r="A128" s="44" t="s">
        <v>383</v>
      </c>
      <c r="B128" s="44"/>
      <c r="C128" s="35"/>
      <c r="D128" s="35">
        <v>45434</v>
      </c>
      <c r="E128" s="35">
        <v>45513</v>
      </c>
      <c r="F128" s="40"/>
      <c r="G128" s="40"/>
      <c r="H128" s="5">
        <v>14.58</v>
      </c>
      <c r="I128" s="102"/>
      <c r="J128" s="40"/>
      <c r="K128" s="40"/>
      <c r="L128" s="6">
        <v>69</v>
      </c>
      <c r="M128" s="18">
        <v>43</v>
      </c>
      <c r="N128" s="70">
        <f t="shared" si="2"/>
        <v>18.2</v>
      </c>
    </row>
    <row r="129" spans="1:16">
      <c r="A129" s="44" t="s">
        <v>384</v>
      </c>
      <c r="B129" s="44"/>
      <c r="C129" s="35"/>
      <c r="D129" s="35"/>
      <c r="E129" s="35">
        <v>45513</v>
      </c>
      <c r="F129" s="40"/>
      <c r="G129" s="40"/>
      <c r="H129" s="5"/>
      <c r="I129" s="102"/>
      <c r="J129" s="40">
        <v>60</v>
      </c>
      <c r="K129" s="40"/>
      <c r="L129" s="6">
        <v>105</v>
      </c>
      <c r="M129" s="6">
        <v>36</v>
      </c>
      <c r="N129" s="70">
        <f t="shared" si="2"/>
        <v>48.3</v>
      </c>
    </row>
    <row r="130" spans="1:16">
      <c r="A130" s="44" t="s">
        <v>389</v>
      </c>
      <c r="B130" s="44"/>
      <c r="C130" s="35"/>
      <c r="D130" s="35">
        <v>45574</v>
      </c>
      <c r="E130" s="35">
        <v>45574</v>
      </c>
      <c r="F130" s="40"/>
      <c r="G130" s="40"/>
      <c r="H130" s="5"/>
      <c r="I130" s="102"/>
      <c r="J130" s="40"/>
      <c r="K130" s="40"/>
      <c r="L130" s="6">
        <v>10</v>
      </c>
      <c r="M130" s="6">
        <v>1</v>
      </c>
      <c r="N130" s="59">
        <f t="shared" si="2"/>
        <v>6.3</v>
      </c>
    </row>
    <row r="131" spans="1:16">
      <c r="A131" s="44" t="s">
        <v>397</v>
      </c>
      <c r="B131" s="44"/>
      <c r="C131" s="35"/>
      <c r="D131" s="35">
        <v>45510</v>
      </c>
      <c r="E131" s="35">
        <v>45574</v>
      </c>
      <c r="F131" s="40"/>
      <c r="G131" s="40"/>
      <c r="H131" s="5">
        <v>31.89</v>
      </c>
      <c r="I131" s="102">
        <f>79/30*63*0.5</f>
        <v>82.95</v>
      </c>
      <c r="J131" s="40">
        <v>60</v>
      </c>
      <c r="K131" s="40"/>
      <c r="L131" s="6">
        <v>174</v>
      </c>
      <c r="M131" s="6">
        <v>79</v>
      </c>
      <c r="N131" s="59">
        <f t="shared" si="2"/>
        <v>66.5</v>
      </c>
    </row>
    <row r="132" spans="1:16">
      <c r="A132" s="44" t="s">
        <v>398</v>
      </c>
      <c r="B132" s="44"/>
      <c r="C132" s="35"/>
      <c r="D132" s="35">
        <v>45516</v>
      </c>
      <c r="E132" s="35">
        <v>45583</v>
      </c>
      <c r="F132" s="40"/>
      <c r="G132" s="40"/>
      <c r="H132" s="5"/>
      <c r="I132" s="102">
        <f>56.5/30*66*0.5</f>
        <v>62.15</v>
      </c>
      <c r="J132" s="40">
        <v>75</v>
      </c>
      <c r="K132" s="40"/>
      <c r="L132" s="6">
        <v>140</v>
      </c>
      <c r="M132" s="6">
        <v>56.5</v>
      </c>
      <c r="N132" s="59">
        <f t="shared" si="2"/>
        <v>58.449999999999996</v>
      </c>
    </row>
    <row r="133" spans="1:16">
      <c r="A133" s="44" t="s">
        <v>390</v>
      </c>
      <c r="B133" s="44"/>
      <c r="C133" s="35"/>
      <c r="D133" s="35">
        <v>45573</v>
      </c>
      <c r="E133" s="35">
        <v>45621</v>
      </c>
      <c r="F133" s="40"/>
      <c r="G133" s="40"/>
      <c r="H133" s="5">
        <v>16.940000000000001</v>
      </c>
      <c r="I133" s="102">
        <f>47.5/30*47</f>
        <v>74.416666666666657</v>
      </c>
      <c r="J133" s="40">
        <v>60</v>
      </c>
      <c r="K133" s="40"/>
      <c r="L133" s="6">
        <v>130</v>
      </c>
      <c r="M133" s="6">
        <v>63.5</v>
      </c>
      <c r="N133" s="59">
        <f>(L133-M133)*0.7</f>
        <v>46.55</v>
      </c>
    </row>
    <row r="134" spans="1:16">
      <c r="A134" s="44" t="s">
        <v>406</v>
      </c>
      <c r="B134" s="44"/>
      <c r="C134" s="35">
        <v>45624</v>
      </c>
      <c r="D134" s="35">
        <v>45631</v>
      </c>
      <c r="E134" s="35">
        <v>45631</v>
      </c>
      <c r="F134" s="40"/>
      <c r="G134" s="40"/>
      <c r="H134" s="5">
        <v>13.98</v>
      </c>
      <c r="I134" s="102"/>
      <c r="J134" s="40">
        <v>15</v>
      </c>
      <c r="K134" s="40"/>
      <c r="L134" s="6">
        <v>59</v>
      </c>
      <c r="M134" s="6">
        <v>38</v>
      </c>
      <c r="N134" s="59">
        <f>(L134-M134)*0.7</f>
        <v>14.7</v>
      </c>
    </row>
    <row r="135" spans="1:16">
      <c r="A135" s="10" t="s">
        <v>410</v>
      </c>
      <c r="B135" s="44"/>
      <c r="C135" s="35"/>
      <c r="D135" s="35"/>
      <c r="E135" s="35">
        <v>45613</v>
      </c>
      <c r="F135" s="40"/>
      <c r="G135" s="40"/>
      <c r="H135" s="5">
        <v>10</v>
      </c>
      <c r="I135" s="102">
        <f>-(14*14+14/30*13)</f>
        <v>-202.06666666666666</v>
      </c>
      <c r="J135" s="40">
        <v>15</v>
      </c>
      <c r="K135" s="40"/>
      <c r="L135" s="6">
        <v>30</v>
      </c>
      <c r="M135" s="6">
        <v>10</v>
      </c>
      <c r="N135" s="59">
        <f t="shared" ref="N135" si="3">(L135-M135)*0.7</f>
        <v>14</v>
      </c>
    </row>
    <row r="136" spans="1:16">
      <c r="C136" s="36"/>
      <c r="D136" s="36"/>
      <c r="F136" s="28"/>
      <c r="G136" s="28"/>
      <c r="H136" s="30"/>
      <c r="I136" s="30"/>
      <c r="M136" s="62" t="s">
        <v>4</v>
      </c>
      <c r="N136" s="18">
        <f>SUM(N2:N134)</f>
        <v>4850.8299999999981</v>
      </c>
    </row>
    <row r="137" spans="1:16">
      <c r="C137" s="36"/>
      <c r="D137" s="36"/>
      <c r="F137" s="28"/>
      <c r="G137" s="28"/>
      <c r="H137" s="30"/>
      <c r="I137" s="104"/>
      <c r="M137" s="61" t="s">
        <v>251</v>
      </c>
      <c r="N137" s="6">
        <f>N136+M140+M141-H135-J135-I135</f>
        <v>4937.8966666666647</v>
      </c>
    </row>
    <row r="138" spans="1:16">
      <c r="C138" s="36"/>
      <c r="D138" s="36"/>
      <c r="F138" s="28"/>
      <c r="G138" s="28"/>
      <c r="H138" s="30"/>
      <c r="I138" s="104"/>
    </row>
    <row r="140" spans="1:16">
      <c r="A140" s="28"/>
      <c r="B140" s="28"/>
      <c r="E140" s="15"/>
      <c r="F140" s="1"/>
      <c r="G140" s="1"/>
      <c r="H140" s="1"/>
      <c r="J140" s="1"/>
      <c r="K140" s="1"/>
      <c r="L140" s="1" t="s">
        <v>411</v>
      </c>
      <c r="M140" s="1">
        <v>-43.5</v>
      </c>
      <c r="N140" s="29"/>
    </row>
    <row r="141" spans="1:16">
      <c r="L141" s="1" t="s">
        <v>392</v>
      </c>
      <c r="M141" s="1">
        <v>-46.5</v>
      </c>
    </row>
    <row r="142" spans="1:16">
      <c r="H142" s="30"/>
      <c r="L142" s="1"/>
      <c r="M142"/>
    </row>
    <row r="143" spans="1:16">
      <c r="M143"/>
      <c r="P143" s="42"/>
    </row>
    <row r="144" spans="1:16">
      <c r="L144" s="1"/>
    </row>
    <row r="145" spans="12:16">
      <c r="L145" s="1"/>
      <c r="N145" s="108"/>
      <c r="P145" s="42"/>
    </row>
    <row r="146" spans="12:16">
      <c r="L146" s="1"/>
    </row>
    <row r="147" spans="12:16">
      <c r="L147" s="1"/>
      <c r="N147" s="1"/>
      <c r="P147" s="42"/>
    </row>
    <row r="148" spans="12:16">
      <c r="L148" s="1"/>
    </row>
    <row r="149" spans="12:16">
      <c r="L149" s="1"/>
    </row>
  </sheetData>
  <autoFilter ref="A1:P137">
    <sortState ref="A2:P95">
      <sortCondition ref="B1:B95"/>
    </sortState>
  </autoFilter>
  <pageMargins left="0.7" right="0.7" top="0.75" bottom="0.75" header="0.3" footer="0.3"/>
  <pageSetup paperSize="9"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>
  <dimension ref="A1:P152"/>
  <sheetViews>
    <sheetView topLeftCell="A126" workbookViewId="0">
      <selection activeCell="A138" sqref="A138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2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44</v>
      </c>
      <c r="B19" s="2"/>
      <c r="C19" s="4">
        <v>43196</v>
      </c>
      <c r="D19" s="4"/>
      <c r="E19" s="4">
        <v>43250</v>
      </c>
      <c r="F19" s="5"/>
      <c r="G19" s="49"/>
      <c r="H19" s="5">
        <v>13.78</v>
      </c>
      <c r="I19" s="102">
        <f>25*24/30+25</f>
        <v>45</v>
      </c>
      <c r="J19" s="5"/>
      <c r="K19" s="5"/>
      <c r="L19" s="6">
        <v>11</v>
      </c>
      <c r="M19" s="61">
        <v>25</v>
      </c>
      <c r="N19" s="6">
        <v>9.7999999999999989</v>
      </c>
    </row>
    <row r="20" spans="1:15">
      <c r="A20" s="22" t="s">
        <v>47</v>
      </c>
      <c r="B20" s="22"/>
      <c r="C20" s="4">
        <v>43355</v>
      </c>
      <c r="D20" s="4"/>
      <c r="E20" s="4">
        <v>43277</v>
      </c>
      <c r="F20" s="5"/>
      <c r="G20" s="49"/>
      <c r="H20" s="5">
        <v>19.98</v>
      </c>
      <c r="I20" s="102">
        <f>36*2+36/30*16</f>
        <v>91.2</v>
      </c>
      <c r="J20" s="5"/>
      <c r="K20" s="5"/>
      <c r="L20" s="6">
        <v>105</v>
      </c>
      <c r="M20" s="61">
        <v>36</v>
      </c>
      <c r="N20" s="6">
        <f t="shared" si="0"/>
        <v>48.3</v>
      </c>
    </row>
    <row r="21" spans="1:15">
      <c r="A21" s="22" t="s">
        <v>48</v>
      </c>
      <c r="B21" s="22"/>
      <c r="C21" s="4">
        <v>43367</v>
      </c>
      <c r="D21" s="4"/>
      <c r="E21" s="4">
        <v>43284</v>
      </c>
      <c r="F21" s="5"/>
      <c r="G21" s="49"/>
      <c r="H21" s="5">
        <v>9.1</v>
      </c>
      <c r="I21" s="102">
        <f>25+25/30*27</f>
        <v>47.5</v>
      </c>
      <c r="J21" s="5"/>
      <c r="K21" s="5"/>
      <c r="L21" s="6">
        <v>75</v>
      </c>
      <c r="M21" s="61">
        <v>25</v>
      </c>
      <c r="N21" s="6">
        <f t="shared" si="0"/>
        <v>35</v>
      </c>
    </row>
    <row r="22" spans="1:15">
      <c r="A22" s="2" t="s">
        <v>45</v>
      </c>
      <c r="B22" s="2"/>
      <c r="C22" s="4"/>
      <c r="D22" s="4"/>
      <c r="E22" s="4">
        <v>43286</v>
      </c>
      <c r="F22" s="5"/>
      <c r="G22" s="49"/>
      <c r="H22" s="5">
        <v>11.56</v>
      </c>
      <c r="I22" s="102"/>
      <c r="J22" s="5"/>
      <c r="K22" s="5"/>
      <c r="L22" s="6">
        <v>150</v>
      </c>
      <c r="M22" s="61">
        <v>76</v>
      </c>
      <c r="N22" s="6">
        <f t="shared" si="0"/>
        <v>51.8</v>
      </c>
      <c r="O22" s="20"/>
    </row>
    <row r="23" spans="1:15">
      <c r="A23" s="22" t="s">
        <v>49</v>
      </c>
      <c r="B23" s="22"/>
      <c r="C23" s="4">
        <v>43367</v>
      </c>
      <c r="D23" s="4"/>
      <c r="E23" s="4">
        <v>43291</v>
      </c>
      <c r="F23" s="5"/>
      <c r="G23" s="49"/>
      <c r="H23" s="5">
        <v>10.039999999999999</v>
      </c>
      <c r="I23" s="102">
        <f>50+25/30*14</f>
        <v>61.666666666666671</v>
      </c>
      <c r="J23" s="5"/>
      <c r="K23" s="5"/>
      <c r="L23" s="6">
        <v>50</v>
      </c>
      <c r="M23" s="61">
        <v>22</v>
      </c>
      <c r="N23" s="18">
        <f t="shared" si="0"/>
        <v>19.599999999999998</v>
      </c>
    </row>
    <row r="24" spans="1:15">
      <c r="A24" s="22" t="s">
        <v>51</v>
      </c>
      <c r="B24" s="22"/>
      <c r="C24" s="4">
        <v>43358</v>
      </c>
      <c r="D24" s="4"/>
      <c r="E24" s="4">
        <v>43291</v>
      </c>
      <c r="F24" s="5"/>
      <c r="G24" s="49"/>
      <c r="H24" s="5">
        <v>10.039999999999999</v>
      </c>
      <c r="I24" s="102">
        <f>50+25/30*5</f>
        <v>54.166666666666664</v>
      </c>
      <c r="J24" s="5"/>
      <c r="K24" s="5"/>
      <c r="L24" s="6">
        <v>75</v>
      </c>
      <c r="M24" s="61">
        <v>25</v>
      </c>
      <c r="N24" s="6">
        <f t="shared" si="0"/>
        <v>35</v>
      </c>
    </row>
    <row r="25" spans="1:15">
      <c r="A25" s="22" t="s">
        <v>52</v>
      </c>
      <c r="B25" s="22"/>
      <c r="C25" s="4">
        <v>43367</v>
      </c>
      <c r="D25" s="4"/>
      <c r="E25" s="4">
        <v>43308</v>
      </c>
      <c r="F25" s="5"/>
      <c r="G25" s="49"/>
      <c r="H25" s="5">
        <v>10.86</v>
      </c>
      <c r="I25" s="102">
        <f>25+25/30*27</f>
        <v>47.5</v>
      </c>
      <c r="J25" s="5"/>
      <c r="K25" s="5"/>
      <c r="L25" s="6">
        <v>75</v>
      </c>
      <c r="M25" s="61">
        <v>25</v>
      </c>
      <c r="N25" s="27">
        <f t="shared" si="0"/>
        <v>35</v>
      </c>
    </row>
    <row r="26" spans="1:15">
      <c r="A26" s="22" t="s">
        <v>50</v>
      </c>
      <c r="B26" s="22"/>
      <c r="C26" s="4">
        <v>43367</v>
      </c>
      <c r="D26" s="4"/>
      <c r="E26" s="4">
        <v>43312</v>
      </c>
      <c r="F26" s="5"/>
      <c r="G26" s="49"/>
      <c r="H26" s="5">
        <v>10.86</v>
      </c>
      <c r="I26" s="102">
        <f>25+25/30*24</f>
        <v>45</v>
      </c>
      <c r="J26" s="5"/>
      <c r="K26" s="5"/>
      <c r="L26" s="6">
        <v>70</v>
      </c>
      <c r="M26" s="61">
        <v>25</v>
      </c>
      <c r="N26" s="6">
        <f t="shared" si="0"/>
        <v>31.499999999999996</v>
      </c>
    </row>
    <row r="27" spans="1:15">
      <c r="A27" s="22" t="s">
        <v>55</v>
      </c>
      <c r="B27" s="22"/>
      <c r="C27" s="4">
        <v>43363</v>
      </c>
      <c r="D27" s="4"/>
      <c r="E27" s="4">
        <v>43440</v>
      </c>
      <c r="F27" s="5"/>
      <c r="G27" s="49"/>
      <c r="H27" s="5">
        <v>14.11</v>
      </c>
      <c r="I27" s="102">
        <f>25*2+25*16/30</f>
        <v>63.333333333333336</v>
      </c>
      <c r="J27" s="5"/>
      <c r="K27" s="5"/>
      <c r="L27" s="6">
        <v>75</v>
      </c>
      <c r="M27" s="61">
        <v>25</v>
      </c>
      <c r="N27" s="6">
        <f t="shared" si="0"/>
        <v>35</v>
      </c>
    </row>
    <row r="28" spans="1:15">
      <c r="A28" s="22" t="s">
        <v>54</v>
      </c>
      <c r="B28" s="22"/>
      <c r="C28" s="4">
        <v>43167</v>
      </c>
      <c r="D28" s="4"/>
      <c r="E28" s="4">
        <v>43455</v>
      </c>
      <c r="F28" s="5"/>
      <c r="G28" s="49"/>
      <c r="H28" s="5">
        <v>10.86</v>
      </c>
      <c r="I28" s="102">
        <f>9*25+25*13/30</f>
        <v>235.83333333333334</v>
      </c>
      <c r="J28" s="5"/>
      <c r="K28" s="5"/>
      <c r="L28" s="6">
        <v>90</v>
      </c>
      <c r="M28" s="61">
        <v>36</v>
      </c>
      <c r="N28" s="6">
        <f t="shared" si="0"/>
        <v>37.799999999999997</v>
      </c>
    </row>
    <row r="29" spans="1:15">
      <c r="A29" s="22" t="s">
        <v>57</v>
      </c>
      <c r="B29" s="55"/>
      <c r="C29" s="31">
        <v>43478</v>
      </c>
      <c r="D29" s="31"/>
      <c r="E29" s="4">
        <v>43536</v>
      </c>
      <c r="F29" s="5"/>
      <c r="G29" s="49"/>
      <c r="H29" s="5">
        <v>10.86</v>
      </c>
      <c r="I29" s="102">
        <v>25</v>
      </c>
      <c r="J29" s="5"/>
      <c r="K29" s="5"/>
      <c r="L29" s="6">
        <v>70</v>
      </c>
      <c r="M29" s="61">
        <v>25</v>
      </c>
      <c r="N29" s="6">
        <f t="shared" si="0"/>
        <v>31.499999999999996</v>
      </c>
    </row>
    <row r="30" spans="1:15">
      <c r="A30" s="22" t="s">
        <v>59</v>
      </c>
      <c r="B30" s="22"/>
      <c r="C30" s="4">
        <v>43528</v>
      </c>
      <c r="D30" s="4"/>
      <c r="E30" s="4">
        <v>43538</v>
      </c>
      <c r="F30" s="5"/>
      <c r="G30" s="49"/>
      <c r="H30" s="5">
        <v>14.92</v>
      </c>
      <c r="I30" s="102">
        <f>77/30*10</f>
        <v>25.666666666666668</v>
      </c>
      <c r="J30" s="5"/>
      <c r="K30" s="5"/>
      <c r="L30" s="6">
        <v>169</v>
      </c>
      <c r="M30" s="61">
        <f>64+11+2</f>
        <v>77</v>
      </c>
      <c r="N30" s="6">
        <f t="shared" si="0"/>
        <v>64.399999999999991</v>
      </c>
    </row>
    <row r="31" spans="1:15">
      <c r="A31" s="22" t="s">
        <v>58</v>
      </c>
      <c r="B31" s="22"/>
      <c r="C31" s="4">
        <v>43534</v>
      </c>
      <c r="D31" s="4"/>
      <c r="E31" s="4">
        <v>43542</v>
      </c>
      <c r="F31" s="5"/>
      <c r="G31" s="49"/>
      <c r="H31" s="5">
        <f>10.86*2</f>
        <v>21.72</v>
      </c>
      <c r="I31" s="102">
        <v>0</v>
      </c>
      <c r="J31" s="5"/>
      <c r="K31" s="5"/>
      <c r="L31" s="6">
        <v>30</v>
      </c>
      <c r="M31" s="61">
        <v>22</v>
      </c>
      <c r="N31" s="6">
        <v>18.899999999999999</v>
      </c>
    </row>
    <row r="32" spans="1:15">
      <c r="A32" s="22" t="s">
        <v>61</v>
      </c>
      <c r="B32" s="22"/>
      <c r="C32" s="4">
        <v>43482</v>
      </c>
      <c r="D32" s="4"/>
      <c r="E32" s="4">
        <v>43542</v>
      </c>
      <c r="F32" s="5"/>
      <c r="G32" s="49"/>
      <c r="H32" s="5">
        <v>11.1</v>
      </c>
      <c r="I32" s="102">
        <f>25*2</f>
        <v>50</v>
      </c>
      <c r="J32" s="5"/>
      <c r="K32" s="5"/>
      <c r="L32" s="6">
        <v>70</v>
      </c>
      <c r="M32" s="61">
        <v>26</v>
      </c>
      <c r="N32" s="6">
        <f t="shared" si="0"/>
        <v>30.799999999999997</v>
      </c>
    </row>
    <row r="33" spans="1:16">
      <c r="A33" s="22" t="s">
        <v>67</v>
      </c>
      <c r="B33" s="22"/>
      <c r="C33" s="4">
        <v>43600</v>
      </c>
      <c r="D33" s="4"/>
      <c r="E33" s="4">
        <v>43629</v>
      </c>
      <c r="F33" s="5"/>
      <c r="G33" s="49"/>
      <c r="H33" s="5">
        <f>10.86*2</f>
        <v>21.72</v>
      </c>
      <c r="I33" s="102">
        <f>22/30*58</f>
        <v>42.533333333333331</v>
      </c>
      <c r="J33" s="5">
        <v>50</v>
      </c>
      <c r="K33" s="5">
        <f>H33+I33+J33</f>
        <v>114.25333333333333</v>
      </c>
      <c r="L33" s="6">
        <v>60</v>
      </c>
      <c r="M33" s="61">
        <v>25</v>
      </c>
      <c r="N33" s="6">
        <v>0</v>
      </c>
    </row>
    <row r="34" spans="1:16">
      <c r="A34" s="22" t="s">
        <v>66</v>
      </c>
      <c r="B34" s="22"/>
      <c r="C34" s="4">
        <v>43600</v>
      </c>
      <c r="D34" s="4"/>
      <c r="E34" s="4">
        <v>43629</v>
      </c>
      <c r="F34" s="5"/>
      <c r="G34" s="49"/>
      <c r="H34" s="5">
        <f>10.86</f>
        <v>10.86</v>
      </c>
      <c r="I34" s="102">
        <f>39/30*58</f>
        <v>75.400000000000006</v>
      </c>
      <c r="J34" s="5"/>
      <c r="K34" s="5">
        <f>H34+I34</f>
        <v>86.26</v>
      </c>
      <c r="L34" s="6">
        <v>110</v>
      </c>
      <c r="M34" s="61">
        <f>25+11+3</f>
        <v>39</v>
      </c>
      <c r="N34" s="6">
        <v>0</v>
      </c>
      <c r="O34" t="s">
        <v>73</v>
      </c>
    </row>
    <row r="35" spans="1:16">
      <c r="A35" s="22" t="s">
        <v>64</v>
      </c>
      <c r="B35" s="22"/>
      <c r="C35" s="4">
        <v>43627</v>
      </c>
      <c r="D35" s="4"/>
      <c r="E35" s="4">
        <v>43629</v>
      </c>
      <c r="F35" s="5"/>
      <c r="G35" s="49"/>
      <c r="H35" s="5">
        <v>10.86</v>
      </c>
      <c r="I35" s="102">
        <f>25/30*2</f>
        <v>1.6666666666666667</v>
      </c>
      <c r="J35" s="5"/>
      <c r="K35" s="5">
        <f>H35+I35</f>
        <v>12.526666666666666</v>
      </c>
      <c r="L35" s="6">
        <v>200</v>
      </c>
      <c r="M35" s="61">
        <v>11</v>
      </c>
      <c r="N35" s="5">
        <f t="shared" ref="N35:N46" si="1">(L35-M35)*0.7</f>
        <v>132.29999999999998</v>
      </c>
    </row>
    <row r="36" spans="1:16">
      <c r="A36" s="22" t="s">
        <v>65</v>
      </c>
      <c r="B36" s="22"/>
      <c r="C36" s="4">
        <v>43622</v>
      </c>
      <c r="D36" s="4"/>
      <c r="E36" s="4">
        <v>43650</v>
      </c>
      <c r="F36" s="5"/>
      <c r="G36" s="49"/>
      <c r="H36" s="5">
        <v>10.86</v>
      </c>
      <c r="I36" s="102"/>
      <c r="J36" s="5"/>
      <c r="K36" s="5"/>
      <c r="L36" s="6">
        <v>120</v>
      </c>
      <c r="M36" s="61">
        <v>60</v>
      </c>
      <c r="N36" s="6">
        <f t="shared" si="1"/>
        <v>42</v>
      </c>
    </row>
    <row r="37" spans="1:16">
      <c r="A37" s="22" t="s">
        <v>71</v>
      </c>
      <c r="B37" s="22"/>
      <c r="C37" s="4">
        <v>43635</v>
      </c>
      <c r="D37" s="4"/>
      <c r="E37" s="4">
        <v>43662</v>
      </c>
      <c r="F37" s="5"/>
      <c r="G37" s="49"/>
      <c r="H37" s="5">
        <f>10.86*2</f>
        <v>21.72</v>
      </c>
      <c r="I37" s="102"/>
      <c r="J37" s="5"/>
      <c r="K37" s="5"/>
      <c r="L37" s="6">
        <v>70</v>
      </c>
      <c r="M37" s="61">
        <v>26</v>
      </c>
      <c r="N37" s="6">
        <f t="shared" si="1"/>
        <v>30.799999999999997</v>
      </c>
      <c r="O37" t="s">
        <v>72</v>
      </c>
    </row>
    <row r="38" spans="1:16">
      <c r="A38" s="2" t="s">
        <v>75</v>
      </c>
      <c r="B38" s="2"/>
      <c r="C38" s="4">
        <v>43656</v>
      </c>
      <c r="D38" s="4"/>
      <c r="E38" s="4">
        <v>43711</v>
      </c>
      <c r="F38" s="5"/>
      <c r="G38" s="49"/>
      <c r="H38" s="5">
        <v>10.86</v>
      </c>
      <c r="I38" s="102">
        <f>36/30*48</f>
        <v>57.599999999999994</v>
      </c>
      <c r="J38" s="5"/>
      <c r="K38" s="5"/>
      <c r="L38" s="6">
        <v>105</v>
      </c>
      <c r="M38" s="61">
        <v>36</v>
      </c>
      <c r="N38" s="6">
        <f t="shared" si="1"/>
        <v>48.3</v>
      </c>
    </row>
    <row r="39" spans="1:16">
      <c r="A39" s="2" t="s">
        <v>76</v>
      </c>
      <c r="B39" s="2"/>
      <c r="C39" s="4">
        <v>43677</v>
      </c>
      <c r="D39" s="4"/>
      <c r="E39" s="4">
        <v>43713</v>
      </c>
      <c r="F39" s="5"/>
      <c r="G39" s="49"/>
      <c r="H39" s="5">
        <v>24.06</v>
      </c>
      <c r="I39" s="102">
        <f>80/30*35</f>
        <v>93.333333333333329</v>
      </c>
      <c r="J39" s="5">
        <v>40</v>
      </c>
      <c r="K39" s="5"/>
      <c r="L39" s="6">
        <v>149</v>
      </c>
      <c r="M39" s="61">
        <v>80</v>
      </c>
      <c r="N39" s="6">
        <f t="shared" si="1"/>
        <v>48.3</v>
      </c>
      <c r="O39" t="s">
        <v>79</v>
      </c>
    </row>
    <row r="40" spans="1:16">
      <c r="A40" s="10" t="s">
        <v>81</v>
      </c>
      <c r="B40" s="10"/>
      <c r="C40" s="11">
        <v>45444</v>
      </c>
      <c r="D40" s="11"/>
      <c r="E40" s="11">
        <v>45408</v>
      </c>
      <c r="F40" s="12"/>
      <c r="G40" s="12"/>
      <c r="H40" s="12"/>
      <c r="I40" s="106">
        <f>43/30*34</f>
        <v>48.733333333333334</v>
      </c>
      <c r="J40" s="12"/>
      <c r="K40" s="12"/>
      <c r="L40" s="12">
        <v>129</v>
      </c>
      <c r="M40" s="107">
        <v>61</v>
      </c>
      <c r="N40" s="12">
        <f t="shared" si="1"/>
        <v>47.599999999999994</v>
      </c>
    </row>
    <row r="41" spans="1:16">
      <c r="A41" s="22" t="s">
        <v>87</v>
      </c>
      <c r="B41" s="22"/>
      <c r="C41" s="35">
        <v>43878</v>
      </c>
      <c r="D41" s="35"/>
      <c r="E41" s="35">
        <v>43892</v>
      </c>
      <c r="F41" s="5"/>
      <c r="G41" s="49"/>
      <c r="H41" s="5">
        <v>12.19</v>
      </c>
      <c r="I41" s="102"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22" t="s">
        <v>89</v>
      </c>
      <c r="B42" s="22"/>
      <c r="C42" s="35">
        <v>43908</v>
      </c>
      <c r="D42" s="35"/>
      <c r="E42" s="35">
        <v>43893</v>
      </c>
      <c r="F42" s="5"/>
      <c r="G42" s="49"/>
      <c r="H42" s="5">
        <v>9.6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6">
      <c r="A43" s="22" t="s">
        <v>85</v>
      </c>
      <c r="B43" s="22"/>
      <c r="C43" s="35">
        <v>43881</v>
      </c>
      <c r="D43" s="35"/>
      <c r="E43" s="35">
        <v>43895</v>
      </c>
      <c r="F43" s="5"/>
      <c r="G43" s="49"/>
      <c r="H43" s="5">
        <v>9.14</v>
      </c>
      <c r="I43" s="102">
        <f>11/30*15</f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6">
      <c r="A44" s="39" t="s">
        <v>82</v>
      </c>
      <c r="B44" s="28"/>
      <c r="C44" s="36">
        <v>40235</v>
      </c>
      <c r="D44" s="36"/>
      <c r="E44" s="36">
        <v>43901</v>
      </c>
      <c r="F44" s="5"/>
      <c r="G44" s="34"/>
      <c r="H44" s="37">
        <v>9.6</v>
      </c>
      <c r="I44" s="102">
        <f>11/2</f>
        <v>5.5</v>
      </c>
      <c r="J44" s="5"/>
      <c r="K44" s="5"/>
      <c r="L44" s="17">
        <v>25</v>
      </c>
      <c r="M44" s="63">
        <v>11</v>
      </c>
      <c r="N44" s="26">
        <f t="shared" si="1"/>
        <v>9.7999999999999989</v>
      </c>
    </row>
    <row r="45" spans="1:16">
      <c r="A45" s="22" t="s">
        <v>80</v>
      </c>
      <c r="B45" s="22"/>
      <c r="C45" s="35">
        <v>43873</v>
      </c>
      <c r="D45" s="35"/>
      <c r="E45" s="35">
        <v>43910</v>
      </c>
      <c r="F45" s="5"/>
      <c r="G45" s="49"/>
      <c r="H45" s="5">
        <v>21.84</v>
      </c>
      <c r="I45" s="102">
        <f>56/30*38</f>
        <v>70.933333333333337</v>
      </c>
      <c r="J45" s="5"/>
      <c r="K45" s="5"/>
      <c r="L45" s="6">
        <v>120</v>
      </c>
      <c r="M45" s="61">
        <v>56</v>
      </c>
      <c r="N45" s="6">
        <f t="shared" si="1"/>
        <v>44.8</v>
      </c>
    </row>
    <row r="46" spans="1:16">
      <c r="A46" s="22" t="s">
        <v>88</v>
      </c>
      <c r="B46" s="22"/>
      <c r="C46" s="35">
        <v>43855</v>
      </c>
      <c r="D46" s="35"/>
      <c r="E46" s="35">
        <v>43941</v>
      </c>
      <c r="F46" s="5"/>
      <c r="G46" s="49"/>
      <c r="H46" s="5">
        <v>13.93</v>
      </c>
      <c r="I46" s="102">
        <f>56/30*85</f>
        <v>158.66666666666666</v>
      </c>
      <c r="J46" s="5"/>
      <c r="K46" s="5"/>
      <c r="L46" s="6">
        <v>110</v>
      </c>
      <c r="M46" s="61">
        <v>56</v>
      </c>
      <c r="N46" s="6">
        <f t="shared" si="1"/>
        <v>37.799999999999997</v>
      </c>
    </row>
    <row r="47" spans="1:16">
      <c r="A47" s="22" t="s">
        <v>90</v>
      </c>
      <c r="B47" s="22"/>
      <c r="C47" s="35" t="s">
        <v>96</v>
      </c>
      <c r="D47" s="35"/>
      <c r="E47" s="35">
        <v>44015</v>
      </c>
      <c r="F47" s="5" t="s">
        <v>160</v>
      </c>
      <c r="G47" s="49">
        <v>12.5</v>
      </c>
      <c r="H47" s="5">
        <v>11.29</v>
      </c>
      <c r="I47" s="102">
        <f>100</f>
        <v>100</v>
      </c>
      <c r="J47" s="5"/>
      <c r="K47" s="5"/>
      <c r="L47" s="6">
        <v>105</v>
      </c>
      <c r="M47" s="61">
        <f>25+11+22</f>
        <v>58</v>
      </c>
      <c r="N47" s="6">
        <f>12.5+(92.5-M47)*0.7</f>
        <v>36.65</v>
      </c>
      <c r="P47" s="41"/>
    </row>
    <row r="48" spans="1:16">
      <c r="A48" s="22" t="s">
        <v>97</v>
      </c>
      <c r="B48" s="22"/>
      <c r="C48" s="35">
        <v>43990</v>
      </c>
      <c r="D48" s="35"/>
      <c r="E48" s="35">
        <v>44036</v>
      </c>
      <c r="F48" s="5"/>
      <c r="G48" s="49"/>
      <c r="H48" s="5">
        <v>8.75</v>
      </c>
      <c r="I48" s="102">
        <f>56/30*46</f>
        <v>85.866666666666674</v>
      </c>
      <c r="J48" s="5"/>
      <c r="K48" s="5"/>
      <c r="L48" s="6">
        <v>110</v>
      </c>
      <c r="M48" s="61">
        <f>45+11</f>
        <v>56</v>
      </c>
      <c r="N48" s="6">
        <f>(L48-M48)*0.7</f>
        <v>37.799999999999997</v>
      </c>
    </row>
    <row r="49" spans="1:16">
      <c r="A49" s="22" t="s">
        <v>95</v>
      </c>
      <c r="B49" s="22"/>
      <c r="C49" s="35">
        <v>44028</v>
      </c>
      <c r="D49" s="35"/>
      <c r="E49" s="35">
        <v>44040</v>
      </c>
      <c r="F49" s="5"/>
      <c r="G49" s="49"/>
      <c r="H49" s="5">
        <v>8.75</v>
      </c>
      <c r="I49" s="102">
        <f>41/30*12</f>
        <v>16.399999999999999</v>
      </c>
      <c r="J49" s="5"/>
      <c r="K49" s="5"/>
      <c r="L49" s="6">
        <v>60</v>
      </c>
      <c r="M49" s="61">
        <v>41</v>
      </c>
      <c r="N49" s="6">
        <f>(L49-M49)*0.7</f>
        <v>13.299999999999999</v>
      </c>
    </row>
    <row r="50" spans="1:16">
      <c r="A50" s="22" t="s">
        <v>94</v>
      </c>
      <c r="B50" s="22"/>
      <c r="C50" s="35">
        <v>44011</v>
      </c>
      <c r="D50" s="35"/>
      <c r="E50" s="35">
        <v>44084</v>
      </c>
      <c r="F50" s="5"/>
      <c r="G50" s="49"/>
      <c r="H50" s="5">
        <v>11.29</v>
      </c>
      <c r="I50" s="102">
        <f>25/30*71</f>
        <v>59.166666666666671</v>
      </c>
      <c r="J50" s="5"/>
      <c r="K50" s="5"/>
      <c r="L50" s="6">
        <v>40</v>
      </c>
      <c r="M50" s="61">
        <v>25</v>
      </c>
      <c r="N50" s="6">
        <f>(L50-M50)*0.7</f>
        <v>10.5</v>
      </c>
    </row>
    <row r="51" spans="1:16">
      <c r="A51" s="2" t="s">
        <v>99</v>
      </c>
      <c r="B51" s="2"/>
      <c r="C51" s="35">
        <v>44084</v>
      </c>
      <c r="D51" s="35"/>
      <c r="E51" s="35">
        <v>44105</v>
      </c>
      <c r="F51" s="5" t="s">
        <v>160</v>
      </c>
      <c r="G51" s="49">
        <v>5</v>
      </c>
      <c r="H51" s="5">
        <v>12.24</v>
      </c>
      <c r="I51" s="102">
        <f>25/30*20</f>
        <v>16.666666666666668</v>
      </c>
      <c r="J51" s="5"/>
      <c r="K51" s="5"/>
      <c r="L51" s="43">
        <v>40</v>
      </c>
      <c r="M51" s="61">
        <v>22</v>
      </c>
      <c r="N51" s="6">
        <f>5+13*0.7</f>
        <v>14.1</v>
      </c>
      <c r="P51" s="41"/>
    </row>
    <row r="52" spans="1:16">
      <c r="A52" s="2" t="s">
        <v>102</v>
      </c>
      <c r="B52" s="2"/>
      <c r="C52" s="4" t="s">
        <v>103</v>
      </c>
      <c r="D52" s="4"/>
      <c r="E52" s="4">
        <v>44110</v>
      </c>
      <c r="F52" s="5" t="s">
        <v>160</v>
      </c>
      <c r="G52" s="49">
        <v>10</v>
      </c>
      <c r="H52" s="5">
        <v>36.65</v>
      </c>
      <c r="I52" s="102">
        <f>115/30*26</f>
        <v>99.666666666666671</v>
      </c>
      <c r="J52" s="5"/>
      <c r="K52" s="5"/>
      <c r="L52" s="6">
        <v>180</v>
      </c>
      <c r="M52" s="61">
        <v>115</v>
      </c>
      <c r="N52" s="6">
        <f>10+55*0.7</f>
        <v>48.5</v>
      </c>
      <c r="P52" s="41"/>
    </row>
    <row r="53" spans="1:16">
      <c r="A53" s="2" t="s">
        <v>94</v>
      </c>
      <c r="B53" s="2"/>
      <c r="C53" s="35">
        <v>44124</v>
      </c>
      <c r="D53" s="35"/>
      <c r="E53" s="35">
        <v>44124</v>
      </c>
      <c r="F53" s="5"/>
      <c r="G53" s="49"/>
      <c r="H53" s="5">
        <v>7.25</v>
      </c>
      <c r="I53" s="102">
        <v>0</v>
      </c>
      <c r="J53" s="5"/>
      <c r="K53" s="5"/>
      <c r="L53" s="6">
        <v>25</v>
      </c>
      <c r="M53" s="61">
        <v>11</v>
      </c>
      <c r="N53" s="6">
        <f>(L53-M53)*0.7</f>
        <v>9.7999999999999989</v>
      </c>
    </row>
    <row r="54" spans="1:16">
      <c r="A54" s="2" t="s">
        <v>100</v>
      </c>
      <c r="B54" s="2"/>
      <c r="C54" s="4">
        <v>44018</v>
      </c>
      <c r="D54" s="4"/>
      <c r="E54" s="4">
        <v>44124</v>
      </c>
      <c r="F54" s="40"/>
      <c r="G54" s="2"/>
      <c r="H54" s="5">
        <v>9.5</v>
      </c>
      <c r="I54" s="102">
        <f>25/30*104</f>
        <v>86.666666666666671</v>
      </c>
      <c r="J54" s="5"/>
      <c r="K54" s="5"/>
      <c r="L54" s="6">
        <v>70</v>
      </c>
      <c r="M54" s="61">
        <v>25</v>
      </c>
      <c r="N54" s="6">
        <f>(L54-M54)*0.7</f>
        <v>31.499999999999996</v>
      </c>
    </row>
    <row r="55" spans="1:16">
      <c r="A55" s="2" t="s">
        <v>101</v>
      </c>
      <c r="B55" s="2"/>
      <c r="C55" s="4">
        <v>44070</v>
      </c>
      <c r="D55" s="4"/>
      <c r="E55" s="4">
        <v>44131</v>
      </c>
      <c r="F55" s="40"/>
      <c r="G55" s="2"/>
      <c r="H55" s="5">
        <v>13.93</v>
      </c>
      <c r="I55" s="102">
        <f>71/30*60</f>
        <v>142</v>
      </c>
      <c r="J55" s="5"/>
      <c r="K55" s="5"/>
      <c r="L55" s="6">
        <v>120</v>
      </c>
      <c r="M55" s="61">
        <f>60+11</f>
        <v>71</v>
      </c>
      <c r="N55" s="6">
        <f>(L55-M55)*0.7</f>
        <v>34.299999999999997</v>
      </c>
    </row>
    <row r="56" spans="1:16">
      <c r="A56" s="22" t="s">
        <v>104</v>
      </c>
      <c r="B56" s="22"/>
      <c r="C56" s="4">
        <v>44159</v>
      </c>
      <c r="D56" s="4"/>
      <c r="E56" s="4">
        <v>44187</v>
      </c>
      <c r="F56" s="40"/>
      <c r="G56" s="2"/>
      <c r="H56" s="5">
        <v>13.93</v>
      </c>
      <c r="I56" s="102">
        <f>36/30*28</f>
        <v>33.6</v>
      </c>
      <c r="J56" s="5"/>
      <c r="K56" s="5"/>
      <c r="L56" s="6">
        <v>110</v>
      </c>
      <c r="M56" s="61">
        <f>25+11</f>
        <v>36</v>
      </c>
      <c r="N56" s="6">
        <f>(L56-M56)*0.7</f>
        <v>51.8</v>
      </c>
    </row>
    <row r="57" spans="1:16">
      <c r="A57" s="22" t="s">
        <v>120</v>
      </c>
      <c r="B57" s="22"/>
      <c r="C57" s="4">
        <v>44169</v>
      </c>
      <c r="D57" s="4"/>
      <c r="E57" s="4">
        <v>44208</v>
      </c>
      <c r="F57" s="5" t="s">
        <v>160</v>
      </c>
      <c r="G57" s="49">
        <v>10</v>
      </c>
      <c r="H57" s="5"/>
      <c r="I57" s="102">
        <f>41/30*38</f>
        <v>51.933333333333337</v>
      </c>
      <c r="J57" s="5"/>
      <c r="K57" s="5"/>
      <c r="L57" s="6">
        <v>70</v>
      </c>
      <c r="M57" s="61">
        <v>45</v>
      </c>
      <c r="N57" s="5">
        <f>10+(60-45)*0.7</f>
        <v>20.5</v>
      </c>
      <c r="O57" s="1" t="s">
        <v>145</v>
      </c>
    </row>
    <row r="58" spans="1:16">
      <c r="A58" s="22" t="s">
        <v>108</v>
      </c>
      <c r="B58" s="22"/>
      <c r="C58" s="4">
        <v>44185</v>
      </c>
      <c r="D58" s="4"/>
      <c r="E58" s="4">
        <v>44242</v>
      </c>
      <c r="F58" s="5" t="s">
        <v>160</v>
      </c>
      <c r="G58" s="49">
        <v>20</v>
      </c>
      <c r="H58" s="5">
        <v>26.48</v>
      </c>
      <c r="I58" s="102">
        <f>50/30*55</f>
        <v>91.666666666666671</v>
      </c>
      <c r="J58" s="5">
        <v>160</v>
      </c>
      <c r="K58" s="5"/>
      <c r="L58" s="6">
        <v>130</v>
      </c>
      <c r="M58" s="61">
        <v>34</v>
      </c>
      <c r="N58" s="5">
        <f>(20+(110-34)*0.7)</f>
        <v>73.199999999999989</v>
      </c>
      <c r="O58" s="1" t="s">
        <v>145</v>
      </c>
    </row>
    <row r="59" spans="1:16">
      <c r="A59" s="22" t="s">
        <v>109</v>
      </c>
      <c r="B59" s="22"/>
      <c r="C59" s="4">
        <v>44209</v>
      </c>
      <c r="D59" s="4"/>
      <c r="E59" s="4">
        <v>44250</v>
      </c>
      <c r="F59" s="5" t="s">
        <v>160</v>
      </c>
      <c r="G59" s="49">
        <v>22.5</v>
      </c>
      <c r="H59" s="5">
        <v>22.83</v>
      </c>
      <c r="I59" s="102">
        <f>100/30*40</f>
        <v>133.33333333333334</v>
      </c>
      <c r="J59" s="5">
        <v>125</v>
      </c>
      <c r="K59" s="5"/>
      <c r="L59" s="6">
        <v>210</v>
      </c>
      <c r="M59" s="61">
        <v>100</v>
      </c>
      <c r="N59" s="6">
        <f>(22.5+87.5*0.7)</f>
        <v>83.75</v>
      </c>
    </row>
    <row r="60" spans="1:16">
      <c r="A60" s="2" t="s">
        <v>113</v>
      </c>
      <c r="B60" s="2"/>
      <c r="C60" s="4">
        <v>44245</v>
      </c>
      <c r="D60" s="4"/>
      <c r="E60" s="4">
        <v>44271</v>
      </c>
      <c r="F60" s="5" t="s">
        <v>160</v>
      </c>
      <c r="G60" s="49">
        <v>15</v>
      </c>
      <c r="H60" s="5">
        <v>26.76</v>
      </c>
      <c r="I60" s="102">
        <f>67/30*28</f>
        <v>62.533333333333331</v>
      </c>
      <c r="J60" s="5"/>
      <c r="K60" s="5"/>
      <c r="L60" s="6">
        <v>140</v>
      </c>
      <c r="M60" s="61">
        <v>67</v>
      </c>
      <c r="N60" s="6">
        <f>(15+0.7*58)</f>
        <v>55.599999999999994</v>
      </c>
    </row>
    <row r="61" spans="1:16">
      <c r="A61" s="2" t="s">
        <v>112</v>
      </c>
      <c r="B61" s="2"/>
      <c r="C61" s="4">
        <v>44270</v>
      </c>
      <c r="D61" s="4"/>
      <c r="E61" s="4">
        <v>44286</v>
      </c>
      <c r="F61" s="5" t="s">
        <v>160</v>
      </c>
      <c r="G61" s="49">
        <v>17.5</v>
      </c>
      <c r="H61" s="5">
        <v>31.96</v>
      </c>
      <c r="I61" s="102">
        <f>55/30*16</f>
        <v>29.333333333333332</v>
      </c>
      <c r="J61" s="5">
        <v>75</v>
      </c>
      <c r="K61" s="5"/>
      <c r="L61" s="6">
        <v>100</v>
      </c>
      <c r="M61" s="61">
        <v>55</v>
      </c>
      <c r="N61" s="6">
        <f>(17.5+27.5*0.7)</f>
        <v>36.75</v>
      </c>
    </row>
    <row r="62" spans="1:16">
      <c r="A62" s="22" t="s">
        <v>121</v>
      </c>
      <c r="B62" s="22"/>
      <c r="C62" s="4">
        <v>44316</v>
      </c>
      <c r="D62" s="4"/>
      <c r="E62" s="4">
        <v>44354</v>
      </c>
      <c r="F62" s="40"/>
      <c r="G62" s="2"/>
      <c r="H62" s="5">
        <v>15.15</v>
      </c>
      <c r="I62" s="102">
        <f>36/30*37</f>
        <v>44.4</v>
      </c>
      <c r="J62" s="5"/>
      <c r="K62" s="5"/>
      <c r="L62" s="6">
        <v>110</v>
      </c>
      <c r="M62" s="61">
        <v>36</v>
      </c>
      <c r="N62" s="5">
        <f>(L62-M62)*0.7</f>
        <v>51.8</v>
      </c>
      <c r="O62" s="1" t="s">
        <v>145</v>
      </c>
    </row>
    <row r="63" spans="1:16">
      <c r="A63" s="22" t="s">
        <v>126</v>
      </c>
      <c r="B63" s="22"/>
      <c r="C63" s="4">
        <v>44336</v>
      </c>
      <c r="D63" s="4"/>
      <c r="E63" s="4">
        <v>44370</v>
      </c>
      <c r="F63" s="5" t="s">
        <v>161</v>
      </c>
      <c r="G63" s="49">
        <v>17.5</v>
      </c>
      <c r="H63" s="5">
        <v>35.78</v>
      </c>
      <c r="I63" s="102">
        <f>58/30*33</f>
        <v>63.8</v>
      </c>
      <c r="J63" s="5">
        <v>50</v>
      </c>
      <c r="K63" s="5"/>
      <c r="L63" s="6">
        <v>150</v>
      </c>
      <c r="M63" s="61">
        <v>58</v>
      </c>
      <c r="N63" s="6">
        <f>(17.5+74.5*0.7)</f>
        <v>69.650000000000006</v>
      </c>
    </row>
    <row r="64" spans="1:16">
      <c r="A64" s="44" t="s">
        <v>125</v>
      </c>
      <c r="B64" s="44"/>
      <c r="C64" s="4">
        <v>44342</v>
      </c>
      <c r="D64" s="4"/>
      <c r="E64" s="4">
        <v>44386</v>
      </c>
      <c r="F64" s="5" t="s">
        <v>160</v>
      </c>
      <c r="G64" s="49">
        <v>12.5</v>
      </c>
      <c r="H64" s="5">
        <v>15.46</v>
      </c>
      <c r="I64" s="102">
        <f>36/30*43</f>
        <v>51.6</v>
      </c>
      <c r="J64" s="5">
        <f>50+45</f>
        <v>95</v>
      </c>
      <c r="K64" s="5"/>
      <c r="L64" s="6">
        <v>80</v>
      </c>
      <c r="M64" s="61">
        <v>33</v>
      </c>
      <c r="N64" s="6">
        <f>12.5+(L64-M64-12.5)*0.7</f>
        <v>36.65</v>
      </c>
    </row>
    <row r="65" spans="1:16">
      <c r="A65" s="44" t="s">
        <v>129</v>
      </c>
      <c r="B65" s="44"/>
      <c r="C65" s="4">
        <v>44348</v>
      </c>
      <c r="D65" s="4"/>
      <c r="E65" s="4">
        <v>44389</v>
      </c>
      <c r="F65" s="5" t="s">
        <v>160</v>
      </c>
      <c r="G65" s="49">
        <v>12.5</v>
      </c>
      <c r="H65" s="5">
        <v>26.22</v>
      </c>
      <c r="I65" s="102">
        <f>71/30*42</f>
        <v>99.4</v>
      </c>
      <c r="J65" s="5">
        <f>50+45</f>
        <v>95</v>
      </c>
      <c r="K65" s="5"/>
      <c r="L65" s="6">
        <v>140</v>
      </c>
      <c r="M65" s="61">
        <v>71</v>
      </c>
      <c r="N65" s="6">
        <f>(12.5+(127.5-71)*0.7)</f>
        <v>52.05</v>
      </c>
    </row>
    <row r="66" spans="1:16">
      <c r="A66" s="44" t="s">
        <v>132</v>
      </c>
      <c r="B66" s="44"/>
      <c r="C66" s="4">
        <v>44407</v>
      </c>
      <c r="D66" s="4"/>
      <c r="E66" s="4">
        <v>44461</v>
      </c>
      <c r="F66" s="40"/>
      <c r="G66" s="2"/>
      <c r="H66" s="5">
        <v>9.8800000000000008</v>
      </c>
      <c r="I66" s="102">
        <f>25/30*52</f>
        <v>43.333333333333336</v>
      </c>
      <c r="J66" s="5"/>
      <c r="K66" s="5"/>
      <c r="L66" s="6">
        <v>40</v>
      </c>
      <c r="M66" s="61">
        <v>25</v>
      </c>
      <c r="N66" s="6">
        <f>(L66-M66)*0.7</f>
        <v>10.5</v>
      </c>
    </row>
    <row r="67" spans="1:16">
      <c r="A67" s="52" t="s">
        <v>141</v>
      </c>
      <c r="B67" s="52"/>
      <c r="C67" s="57">
        <v>44459</v>
      </c>
      <c r="D67" s="57"/>
      <c r="E67" s="57">
        <v>44481</v>
      </c>
      <c r="F67" s="10" t="s">
        <v>161</v>
      </c>
      <c r="G67" s="12">
        <v>10</v>
      </c>
      <c r="H67" s="25">
        <v>15.15</v>
      </c>
      <c r="I67" s="103">
        <f>46/30*22</f>
        <v>33.733333333333334</v>
      </c>
      <c r="J67" s="25">
        <v>80</v>
      </c>
      <c r="K67" s="25"/>
      <c r="L67" s="27">
        <v>120</v>
      </c>
      <c r="M67" s="64">
        <v>46</v>
      </c>
      <c r="N67" s="27">
        <f>10+(120-56)*0.7</f>
        <v>54.8</v>
      </c>
    </row>
    <row r="68" spans="1:16">
      <c r="A68" s="52" t="s">
        <v>140</v>
      </c>
      <c r="B68" s="52"/>
      <c r="C68" s="57">
        <v>44449</v>
      </c>
      <c r="D68" s="57"/>
      <c r="E68" s="57">
        <v>44482</v>
      </c>
      <c r="F68" s="25" t="s">
        <v>160</v>
      </c>
      <c r="G68" s="58">
        <v>10</v>
      </c>
      <c r="H68" s="25">
        <v>13.4</v>
      </c>
      <c r="I68" s="103">
        <f>60/30*33</f>
        <v>66</v>
      </c>
      <c r="J68" s="25">
        <v>80</v>
      </c>
      <c r="K68" s="25"/>
      <c r="L68" s="27">
        <v>120</v>
      </c>
      <c r="M68" s="64">
        <v>61</v>
      </c>
      <c r="N68" s="27">
        <f>(10+49*0.7)</f>
        <v>44.3</v>
      </c>
    </row>
    <row r="69" spans="1:16">
      <c r="A69" s="44" t="s">
        <v>137</v>
      </c>
      <c r="B69" s="44"/>
      <c r="C69" s="35">
        <v>44474</v>
      </c>
      <c r="D69" s="35"/>
      <c r="E69" s="35">
        <v>44487</v>
      </c>
      <c r="F69" s="10" t="s">
        <v>161</v>
      </c>
      <c r="G69" s="12">
        <v>12.5</v>
      </c>
      <c r="H69" s="5">
        <v>15.15</v>
      </c>
      <c r="I69" s="102">
        <f>71/30*13</f>
        <v>30.766666666666666</v>
      </c>
      <c r="J69" s="5">
        <v>95</v>
      </c>
      <c r="K69" s="5"/>
      <c r="L69" s="6">
        <v>140</v>
      </c>
      <c r="M69" s="61">
        <v>71</v>
      </c>
      <c r="N69" s="6">
        <f>12.5+(56.5)*0.7</f>
        <v>52.05</v>
      </c>
    </row>
    <row r="70" spans="1:16">
      <c r="A70" s="44" t="s">
        <v>143</v>
      </c>
      <c r="B70" s="44"/>
      <c r="C70" s="35">
        <v>43717</v>
      </c>
      <c r="D70" s="35"/>
      <c r="E70" s="35">
        <v>44505</v>
      </c>
      <c r="F70" s="40"/>
      <c r="G70" s="49"/>
      <c r="H70" s="5">
        <v>13.4</v>
      </c>
      <c r="I70" s="102">
        <f>36*25+36/30*26</f>
        <v>931.2</v>
      </c>
      <c r="J70" s="5"/>
      <c r="K70" s="5"/>
      <c r="L70" s="6">
        <v>100</v>
      </c>
      <c r="M70" s="61">
        <v>36</v>
      </c>
      <c r="N70" s="6">
        <f>(100-36)*0.7</f>
        <v>44.8</v>
      </c>
    </row>
    <row r="71" spans="1:16">
      <c r="A71" s="44" t="s">
        <v>139</v>
      </c>
      <c r="B71" s="44"/>
      <c r="C71" s="35">
        <v>44492</v>
      </c>
      <c r="D71" s="35"/>
      <c r="E71" s="35">
        <v>44539</v>
      </c>
      <c r="F71" s="40"/>
      <c r="G71" s="49"/>
      <c r="H71" s="5">
        <v>16.350000000000001</v>
      </c>
      <c r="I71" s="102">
        <f>71/30*46</f>
        <v>108.86666666666667</v>
      </c>
      <c r="J71" s="5">
        <v>95</v>
      </c>
      <c r="K71" s="5"/>
      <c r="L71" s="6">
        <v>140</v>
      </c>
      <c r="M71" s="61">
        <v>71</v>
      </c>
      <c r="N71" s="12">
        <f>(140-71)*0.7</f>
        <v>48.3</v>
      </c>
      <c r="O71" s="72" t="s">
        <v>329</v>
      </c>
      <c r="P71" s="72">
        <v>33.81</v>
      </c>
    </row>
    <row r="72" spans="1:16">
      <c r="A72" s="44" t="s">
        <v>144</v>
      </c>
      <c r="B72" s="44"/>
      <c r="C72" s="35">
        <v>44526</v>
      </c>
      <c r="D72" s="35"/>
      <c r="E72" s="35">
        <v>44550</v>
      </c>
      <c r="F72" s="5" t="s">
        <v>160</v>
      </c>
      <c r="G72" s="49">
        <v>12.5</v>
      </c>
      <c r="H72" s="5">
        <v>13.4</v>
      </c>
      <c r="I72" s="102">
        <f>83/30*24</f>
        <v>66.400000000000006</v>
      </c>
      <c r="J72" s="5"/>
      <c r="K72" s="5"/>
      <c r="L72" s="6">
        <v>140</v>
      </c>
      <c r="M72" s="61">
        <v>94</v>
      </c>
      <c r="N72" s="6">
        <f>12.5+(140-12.5-94)*0.7</f>
        <v>35.950000000000003</v>
      </c>
    </row>
    <row r="73" spans="1:16">
      <c r="A73" s="44" t="s">
        <v>149</v>
      </c>
      <c r="B73" s="44"/>
      <c r="C73" s="35">
        <v>44880</v>
      </c>
      <c r="D73" s="35"/>
      <c r="E73" s="35">
        <v>44575</v>
      </c>
      <c r="F73" s="40"/>
      <c r="G73" s="49"/>
      <c r="H73" s="5">
        <v>13.4</v>
      </c>
      <c r="I73" s="102"/>
      <c r="J73" s="5">
        <v>50</v>
      </c>
      <c r="K73" s="5"/>
      <c r="L73" s="6">
        <v>160</v>
      </c>
      <c r="M73" s="61">
        <f>71+9</f>
        <v>80</v>
      </c>
      <c r="N73" s="6">
        <f>(160-80)*0.7</f>
        <v>56</v>
      </c>
    </row>
    <row r="74" spans="1:16">
      <c r="A74" s="44" t="s">
        <v>146</v>
      </c>
      <c r="B74" s="44"/>
      <c r="C74" s="4">
        <v>44586</v>
      </c>
      <c r="D74" s="4"/>
      <c r="E74" s="4">
        <v>44615</v>
      </c>
      <c r="F74" s="10" t="s">
        <v>161</v>
      </c>
      <c r="G74" s="12">
        <v>12.5</v>
      </c>
      <c r="H74" s="5">
        <v>15.46</v>
      </c>
      <c r="I74" s="102">
        <f>27/30*28</f>
        <v>25.2</v>
      </c>
      <c r="J74" s="5">
        <v>110</v>
      </c>
      <c r="K74" s="5"/>
      <c r="L74" s="6">
        <v>154</v>
      </c>
      <c r="M74" s="61">
        <v>72</v>
      </c>
      <c r="N74" s="6">
        <f>12.5+(154-12.5-62)*0.7</f>
        <v>68.150000000000006</v>
      </c>
    </row>
    <row r="75" spans="1:16">
      <c r="A75" s="44" t="s">
        <v>148</v>
      </c>
      <c r="B75" s="44"/>
      <c r="C75" s="4">
        <v>44579</v>
      </c>
      <c r="D75" s="4"/>
      <c r="E75" s="4">
        <v>44594</v>
      </c>
      <c r="F75" s="40"/>
      <c r="G75" s="49"/>
      <c r="H75" s="5">
        <v>13.4</v>
      </c>
      <c r="I75" s="102">
        <f>22/30*14</f>
        <v>10.266666666666666</v>
      </c>
      <c r="J75" s="5">
        <v>30</v>
      </c>
      <c r="K75" s="5"/>
      <c r="L75" s="6">
        <v>50</v>
      </c>
      <c r="M75" s="61">
        <v>22</v>
      </c>
      <c r="N75" s="6">
        <f>(50-22)*0.7</f>
        <v>19.599999999999998</v>
      </c>
    </row>
    <row r="76" spans="1:16">
      <c r="A76" s="44" t="s">
        <v>150</v>
      </c>
      <c r="B76" s="44"/>
      <c r="C76" s="4">
        <v>44899</v>
      </c>
      <c r="D76" s="4"/>
      <c r="E76" s="4">
        <v>44607</v>
      </c>
      <c r="F76" s="12" t="s">
        <v>160</v>
      </c>
      <c r="G76" s="12">
        <v>12.5</v>
      </c>
      <c r="H76" s="5">
        <v>13.4</v>
      </c>
      <c r="I76" s="102">
        <f>71/30*61</f>
        <v>144.36666666666667</v>
      </c>
      <c r="J76" s="5">
        <v>80</v>
      </c>
      <c r="K76" s="5"/>
      <c r="L76" s="6">
        <v>120</v>
      </c>
      <c r="M76" s="61">
        <v>60</v>
      </c>
      <c r="N76" s="6">
        <f>12.5+(120-72.5)*0.7</f>
        <v>45.75</v>
      </c>
    </row>
    <row r="77" spans="1:16">
      <c r="A77" s="44" t="s">
        <v>151</v>
      </c>
      <c r="B77" s="44"/>
      <c r="C77" s="4">
        <v>44926</v>
      </c>
      <c r="D77" s="4"/>
      <c r="E77" s="4">
        <v>44649</v>
      </c>
      <c r="F77" s="40"/>
      <c r="G77" s="40"/>
      <c r="H77" s="5">
        <v>9.0299999999999994</v>
      </c>
      <c r="I77" s="102">
        <f>25*2+25/30*29</f>
        <v>74.166666666666671</v>
      </c>
      <c r="J77" s="5">
        <v>80</v>
      </c>
      <c r="K77" s="5"/>
      <c r="L77" s="6">
        <v>67.5</v>
      </c>
      <c r="M77" s="61">
        <v>25</v>
      </c>
      <c r="N77" s="6">
        <f>(67.5-25)*0.7</f>
        <v>29.749999999999996</v>
      </c>
    </row>
    <row r="78" spans="1:16">
      <c r="A78" s="44" t="s">
        <v>153</v>
      </c>
      <c r="B78" s="44"/>
      <c r="C78" s="4">
        <v>44623</v>
      </c>
      <c r="D78" s="4"/>
      <c r="E78" s="4">
        <v>44623</v>
      </c>
      <c r="F78" s="40"/>
      <c r="G78" s="40"/>
      <c r="H78" s="5">
        <v>11.03</v>
      </c>
      <c r="I78" s="102">
        <v>0</v>
      </c>
      <c r="J78" s="5">
        <v>15</v>
      </c>
      <c r="K78" s="5"/>
      <c r="L78" s="6">
        <v>30</v>
      </c>
      <c r="M78" s="61">
        <v>12</v>
      </c>
      <c r="N78" s="6">
        <f>(L78-M78)*0.7</f>
        <v>12.6</v>
      </c>
    </row>
    <row r="79" spans="1:16">
      <c r="A79" s="44" t="s">
        <v>154</v>
      </c>
      <c r="B79" s="44"/>
      <c r="C79" s="4">
        <v>44881</v>
      </c>
      <c r="D79" s="4"/>
      <c r="E79" s="4">
        <v>44628</v>
      </c>
      <c r="F79" s="40"/>
      <c r="G79" s="40"/>
      <c r="H79" s="5">
        <v>9.0299999999999994</v>
      </c>
      <c r="I79" s="102">
        <f>65*3+65/30*22</f>
        <v>242.66666666666666</v>
      </c>
      <c r="J79" s="5">
        <v>95</v>
      </c>
      <c r="K79" s="5"/>
      <c r="L79" s="6">
        <v>112</v>
      </c>
      <c r="M79" s="61">
        <v>65</v>
      </c>
      <c r="N79" s="6">
        <f>(L79-M79)*0.7</f>
        <v>32.9</v>
      </c>
    </row>
    <row r="80" spans="1:16">
      <c r="A80" s="44" t="s">
        <v>155</v>
      </c>
      <c r="B80" s="44"/>
      <c r="C80" s="4">
        <v>44490</v>
      </c>
      <c r="D80" s="4"/>
      <c r="E80" s="4">
        <v>44648</v>
      </c>
      <c r="F80" s="40"/>
      <c r="G80" s="40"/>
      <c r="H80" s="5">
        <v>13.4</v>
      </c>
      <c r="I80" s="102">
        <f>45*5+45/30*7</f>
        <v>235.5</v>
      </c>
      <c r="J80" s="5">
        <v>80</v>
      </c>
      <c r="K80" s="5"/>
      <c r="L80" s="6">
        <v>67.5</v>
      </c>
      <c r="M80" s="61">
        <v>45</v>
      </c>
      <c r="N80" s="6">
        <f>(L80-M80)*0.7</f>
        <v>15.749999999999998</v>
      </c>
    </row>
    <row r="81" spans="1:14">
      <c r="A81" s="44" t="s">
        <v>156</v>
      </c>
      <c r="B81" s="44"/>
      <c r="C81" s="4">
        <v>44489</v>
      </c>
      <c r="D81" s="4"/>
      <c r="E81" s="4">
        <v>44651</v>
      </c>
      <c r="F81" s="40"/>
      <c r="G81" s="40"/>
      <c r="H81" s="5">
        <v>15.46</v>
      </c>
      <c r="I81" s="102">
        <f>50*5+50/10</f>
        <v>255</v>
      </c>
      <c r="J81" s="5">
        <v>145</v>
      </c>
      <c r="K81" s="5"/>
      <c r="L81" s="6">
        <v>125</v>
      </c>
      <c r="M81" s="61">
        <v>50</v>
      </c>
      <c r="N81" s="6">
        <f>(L81-M81)*0.7</f>
        <v>52.5</v>
      </c>
    </row>
    <row r="82" spans="1:14">
      <c r="A82" s="44" t="s">
        <v>157</v>
      </c>
      <c r="B82" s="44"/>
      <c r="C82" s="4">
        <v>44627</v>
      </c>
      <c r="D82" s="4"/>
      <c r="E82" s="4">
        <v>44627</v>
      </c>
      <c r="F82" s="10" t="s">
        <v>161</v>
      </c>
      <c r="G82" s="12">
        <v>10</v>
      </c>
      <c r="H82" s="5">
        <v>15.46</v>
      </c>
      <c r="I82" s="102">
        <v>0</v>
      </c>
      <c r="J82" s="5">
        <v>0</v>
      </c>
      <c r="K82" s="5"/>
      <c r="L82" s="6">
        <v>100</v>
      </c>
      <c r="M82" s="61">
        <v>44</v>
      </c>
      <c r="N82" s="6">
        <f>10+(46)*0.7</f>
        <v>42.199999999999996</v>
      </c>
    </row>
    <row r="83" spans="1:14">
      <c r="A83" s="44" t="s">
        <v>158</v>
      </c>
      <c r="B83" s="44"/>
      <c r="C83" s="4">
        <v>44627</v>
      </c>
      <c r="D83" s="4"/>
      <c r="E83" s="4">
        <v>44627</v>
      </c>
      <c r="F83" s="10" t="s">
        <v>161</v>
      </c>
      <c r="G83" s="12">
        <v>12.5</v>
      </c>
      <c r="H83" s="5">
        <v>15.46</v>
      </c>
      <c r="I83" s="102">
        <v>0</v>
      </c>
      <c r="J83" s="5">
        <v>0</v>
      </c>
      <c r="K83" s="5"/>
      <c r="L83" s="6">
        <v>125</v>
      </c>
      <c r="M83" s="61">
        <v>55</v>
      </c>
      <c r="N83" s="6">
        <f>12.5+(57.5)*0.7</f>
        <v>52.75</v>
      </c>
    </row>
    <row r="84" spans="1:14">
      <c r="A84" s="44" t="s">
        <v>171</v>
      </c>
      <c r="B84" s="44"/>
      <c r="C84" s="4">
        <v>44648</v>
      </c>
      <c r="D84" s="4"/>
      <c r="E84" s="4">
        <v>44734</v>
      </c>
      <c r="F84" s="40"/>
      <c r="G84" s="5"/>
      <c r="H84" s="5">
        <v>13.72</v>
      </c>
      <c r="I84" s="102">
        <f>56/30*84</f>
        <v>156.80000000000001</v>
      </c>
      <c r="J84" s="5">
        <v>95</v>
      </c>
      <c r="K84" s="5"/>
      <c r="L84" s="6">
        <v>140</v>
      </c>
      <c r="M84" s="61">
        <v>56</v>
      </c>
      <c r="N84" s="6">
        <f>(140-56)*0.7</f>
        <v>58.8</v>
      </c>
    </row>
    <row r="85" spans="1:14">
      <c r="A85" s="44" t="s">
        <v>172</v>
      </c>
      <c r="B85" s="44"/>
      <c r="C85" s="4">
        <v>44705</v>
      </c>
      <c r="D85" s="4"/>
      <c r="E85" s="4">
        <v>44715</v>
      </c>
      <c r="F85" s="40"/>
      <c r="G85" s="5"/>
      <c r="H85" s="5">
        <v>10.039999999999999</v>
      </c>
      <c r="I85" s="102">
        <f>25/30*9</f>
        <v>7.5</v>
      </c>
      <c r="J85" s="5"/>
      <c r="K85" s="5"/>
      <c r="L85" s="6">
        <v>50</v>
      </c>
      <c r="M85" s="61">
        <v>25</v>
      </c>
      <c r="N85" s="6">
        <f>(50-25)*0.7</f>
        <v>17.5</v>
      </c>
    </row>
    <row r="86" spans="1:14">
      <c r="A86" s="44" t="s">
        <v>173</v>
      </c>
      <c r="B86" s="44"/>
      <c r="C86" s="4">
        <v>44704</v>
      </c>
      <c r="D86" s="4"/>
      <c r="E86" s="4">
        <v>44721</v>
      </c>
      <c r="F86" s="10" t="s">
        <v>161</v>
      </c>
      <c r="G86" s="56">
        <v>12.5</v>
      </c>
      <c r="H86" s="5">
        <v>13.72</v>
      </c>
      <c r="I86" s="102">
        <f>37/30*16</f>
        <v>19.733333333333334</v>
      </c>
      <c r="J86" s="5">
        <f>50+45</f>
        <v>95</v>
      </c>
      <c r="K86" s="5"/>
      <c r="L86" s="6">
        <v>110</v>
      </c>
      <c r="M86" s="61">
        <v>37</v>
      </c>
      <c r="N86" s="56">
        <f>12.5+(97.5-37)*0.7</f>
        <v>54.849999999999994</v>
      </c>
    </row>
    <row r="87" spans="1:14">
      <c r="A87" s="44" t="s">
        <v>174</v>
      </c>
      <c r="B87" s="44"/>
      <c r="C87" s="4">
        <v>44715</v>
      </c>
      <c r="D87" s="4"/>
      <c r="E87" s="4">
        <v>44820</v>
      </c>
      <c r="F87" s="10" t="s">
        <v>161</v>
      </c>
      <c r="G87" s="56">
        <v>15</v>
      </c>
      <c r="H87" s="5">
        <v>14.6</v>
      </c>
      <c r="I87" s="102">
        <f>56/30*103</f>
        <v>192.26666666666668</v>
      </c>
      <c r="J87" s="5">
        <v>50</v>
      </c>
      <c r="K87" s="5"/>
      <c r="L87" s="6">
        <f>130</f>
        <v>130</v>
      </c>
      <c r="M87" s="61">
        <v>56</v>
      </c>
      <c r="N87" s="56">
        <f>15+(115-56)*0.7</f>
        <v>56.3</v>
      </c>
    </row>
    <row r="88" spans="1:14">
      <c r="A88" s="44" t="s">
        <v>183</v>
      </c>
      <c r="B88" s="44"/>
      <c r="C88" s="4">
        <v>44749</v>
      </c>
      <c r="D88" s="4">
        <v>44830</v>
      </c>
      <c r="E88" s="4">
        <v>44858</v>
      </c>
      <c r="F88" s="40"/>
      <c r="G88" s="5"/>
      <c r="H88" s="5">
        <v>11.03</v>
      </c>
      <c r="I88" s="102">
        <v>25</v>
      </c>
      <c r="J88" s="5">
        <v>15</v>
      </c>
      <c r="K88" s="5"/>
      <c r="L88" s="6">
        <v>80</v>
      </c>
      <c r="M88" s="61">
        <v>25</v>
      </c>
      <c r="N88" s="6">
        <f>55*0.7</f>
        <v>38.5</v>
      </c>
    </row>
    <row r="89" spans="1:14">
      <c r="A89" s="44" t="s">
        <v>184</v>
      </c>
      <c r="B89" s="44"/>
      <c r="C89" s="4">
        <v>44775</v>
      </c>
      <c r="D89" s="4">
        <v>44810</v>
      </c>
      <c r="E89" s="4">
        <v>44848</v>
      </c>
      <c r="F89" s="40"/>
      <c r="G89" s="5"/>
      <c r="H89" s="5">
        <v>23.38</v>
      </c>
      <c r="I89" s="102">
        <f>100/30*38</f>
        <v>126.66666666666667</v>
      </c>
      <c r="J89" s="5">
        <v>155</v>
      </c>
      <c r="K89" s="5"/>
      <c r="L89" s="6">
        <v>220</v>
      </c>
      <c r="M89" s="61">
        <v>100</v>
      </c>
      <c r="N89" s="6">
        <v>90.75</v>
      </c>
    </row>
    <row r="90" spans="1:14">
      <c r="A90" s="44" t="s">
        <v>185</v>
      </c>
      <c r="B90" s="44"/>
      <c r="C90" s="4">
        <v>44830</v>
      </c>
      <c r="D90" s="4">
        <v>44852</v>
      </c>
      <c r="E90" s="4">
        <v>44858</v>
      </c>
      <c r="F90" s="10" t="s">
        <v>161</v>
      </c>
      <c r="G90" s="12">
        <v>15</v>
      </c>
      <c r="H90" s="5">
        <v>23.38</v>
      </c>
      <c r="I90" s="102">
        <f>54.5/30*6</f>
        <v>10.9</v>
      </c>
      <c r="J90" s="5">
        <v>95</v>
      </c>
      <c r="K90" s="5"/>
      <c r="L90" s="6">
        <v>160</v>
      </c>
      <c r="M90" s="61">
        <v>64.5</v>
      </c>
      <c r="N90" s="6">
        <f>15+(145-64.5)*0.7</f>
        <v>71.349999999999994</v>
      </c>
    </row>
    <row r="91" spans="1:14">
      <c r="A91" s="44" t="s">
        <v>190</v>
      </c>
      <c r="B91" s="44"/>
      <c r="C91" s="4"/>
      <c r="D91" s="4">
        <v>44879</v>
      </c>
      <c r="E91" s="35">
        <v>44887</v>
      </c>
      <c r="F91" s="44" t="s">
        <v>161</v>
      </c>
      <c r="G91" s="56">
        <v>10</v>
      </c>
      <c r="H91" s="5">
        <v>14.6</v>
      </c>
      <c r="I91" s="102">
        <f>34/30*8</f>
        <v>9.0666666666666664</v>
      </c>
      <c r="J91" s="5">
        <v>45</v>
      </c>
      <c r="K91" s="5"/>
      <c r="L91" s="6">
        <v>90</v>
      </c>
      <c r="M91" s="61">
        <v>34</v>
      </c>
      <c r="N91" s="56">
        <f>10+(80-34)*0.7</f>
        <v>42.199999999999996</v>
      </c>
    </row>
    <row r="92" spans="1:14">
      <c r="A92" s="44" t="s">
        <v>193</v>
      </c>
      <c r="B92" s="44"/>
      <c r="C92" s="4">
        <v>44872</v>
      </c>
      <c r="D92" s="4">
        <v>44879</v>
      </c>
      <c r="E92" s="35">
        <v>44882</v>
      </c>
      <c r="F92" s="40"/>
      <c r="G92" s="5"/>
      <c r="H92" s="5">
        <v>10.039999999999999</v>
      </c>
      <c r="I92" s="102">
        <f>25/30*3</f>
        <v>2.5</v>
      </c>
      <c r="J92" s="5"/>
      <c r="K92" s="5"/>
      <c r="L92" s="6">
        <v>40</v>
      </c>
      <c r="M92" s="61">
        <v>25</v>
      </c>
      <c r="N92" s="6">
        <f>(L92-M92)*0.7</f>
        <v>10.5</v>
      </c>
    </row>
    <row r="93" spans="1:14">
      <c r="A93" s="44" t="s">
        <v>213</v>
      </c>
      <c r="B93" s="44"/>
      <c r="C93" s="4">
        <v>44894</v>
      </c>
      <c r="D93" s="4">
        <v>44908</v>
      </c>
      <c r="E93" s="35">
        <v>44944</v>
      </c>
      <c r="F93" s="40" t="s">
        <v>161</v>
      </c>
      <c r="G93" s="5">
        <v>15</v>
      </c>
      <c r="H93" s="5">
        <v>31.72</v>
      </c>
      <c r="I93" s="102">
        <f>50/30*35</f>
        <v>58.333333333333336</v>
      </c>
      <c r="J93" s="5">
        <f>60+50</f>
        <v>110</v>
      </c>
      <c r="K93" s="5"/>
      <c r="L93" s="6">
        <v>130</v>
      </c>
      <c r="M93" s="61">
        <f>19+2+3.5*2+11*2</f>
        <v>50</v>
      </c>
      <c r="N93" s="94">
        <f>15+(L93-M93-15)*0.7</f>
        <v>60.5</v>
      </c>
    </row>
    <row r="94" spans="1:14">
      <c r="A94" s="44" t="s">
        <v>227</v>
      </c>
      <c r="B94" s="44"/>
      <c r="C94" s="4">
        <v>44949</v>
      </c>
      <c r="D94" s="4">
        <v>44953</v>
      </c>
      <c r="E94" s="35">
        <v>44966</v>
      </c>
      <c r="F94" s="40" t="s">
        <v>160</v>
      </c>
      <c r="G94" s="5">
        <v>15</v>
      </c>
      <c r="H94" s="5">
        <v>16.38</v>
      </c>
      <c r="I94" s="102">
        <f>61.5/30*12</f>
        <v>24.599999999999998</v>
      </c>
      <c r="J94" s="5">
        <f>50+60</f>
        <v>110</v>
      </c>
      <c r="K94" s="5"/>
      <c r="L94" s="6">
        <v>160</v>
      </c>
      <c r="M94" s="65">
        <f>32.5+7+22</f>
        <v>61.5</v>
      </c>
      <c r="N94" s="59">
        <f>15+(L94-M94-15)*0.7</f>
        <v>73.449999999999989</v>
      </c>
    </row>
    <row r="95" spans="1:14">
      <c r="A95" s="44" t="s">
        <v>228</v>
      </c>
      <c r="B95" s="44"/>
      <c r="C95" s="4">
        <v>44957</v>
      </c>
      <c r="D95" s="4">
        <v>44957</v>
      </c>
      <c r="E95" s="35">
        <v>44977</v>
      </c>
      <c r="F95" s="40"/>
      <c r="G95" s="5"/>
      <c r="H95" s="5">
        <v>20.61</v>
      </c>
      <c r="I95" s="102">
        <f>66/30*20</f>
        <v>44</v>
      </c>
      <c r="J95" s="5">
        <v>90</v>
      </c>
      <c r="K95" s="5"/>
      <c r="L95" s="6">
        <v>155</v>
      </c>
      <c r="M95" s="65">
        <v>54</v>
      </c>
      <c r="N95" s="59">
        <f>(L95-M95)*0.7</f>
        <v>70.699999999999989</v>
      </c>
    </row>
    <row r="96" spans="1:14">
      <c r="A96" s="44" t="s">
        <v>255</v>
      </c>
      <c r="B96" s="44"/>
      <c r="C96" s="35">
        <v>44691</v>
      </c>
      <c r="D96" s="35">
        <v>44994</v>
      </c>
      <c r="E96" s="4">
        <v>44994</v>
      </c>
      <c r="F96" s="40"/>
      <c r="G96" s="40"/>
      <c r="H96" s="5">
        <v>11.03</v>
      </c>
      <c r="I96" s="102">
        <f>25*14</f>
        <v>350</v>
      </c>
      <c r="J96" s="40">
        <f>30+50</f>
        <v>80</v>
      </c>
      <c r="K96" s="40"/>
      <c r="L96" s="6">
        <v>90</v>
      </c>
      <c r="M96" s="6">
        <v>25</v>
      </c>
      <c r="N96" s="59">
        <v>48.5</v>
      </c>
    </row>
    <row r="97" spans="1:16">
      <c r="A97" s="44" t="s">
        <v>187</v>
      </c>
      <c r="B97" s="44"/>
      <c r="C97" s="35"/>
      <c r="D97" s="35">
        <v>44991</v>
      </c>
      <c r="E97" s="4">
        <v>44991</v>
      </c>
      <c r="F97" s="40"/>
      <c r="G97" s="40"/>
      <c r="H97" s="5">
        <v>13.31</v>
      </c>
      <c r="I97" s="102"/>
      <c r="J97" s="40">
        <v>45</v>
      </c>
      <c r="K97" s="40"/>
      <c r="L97" s="6">
        <v>80</v>
      </c>
      <c r="M97" s="6">
        <v>27</v>
      </c>
      <c r="N97" s="59">
        <f>(L97-M97)*0.7</f>
        <v>37.099999999999994</v>
      </c>
    </row>
    <row r="98" spans="1:16">
      <c r="A98" s="76" t="s">
        <v>276</v>
      </c>
      <c r="B98" s="44"/>
      <c r="C98" s="35">
        <v>45061</v>
      </c>
      <c r="D98" s="35">
        <v>45070</v>
      </c>
      <c r="E98" s="4"/>
      <c r="F98" s="40"/>
      <c r="G98" s="40"/>
      <c r="H98" s="5">
        <v>11.48</v>
      </c>
      <c r="I98" s="102">
        <f>21/30*9</f>
        <v>6.3</v>
      </c>
      <c r="J98" s="40"/>
      <c r="K98" s="40"/>
      <c r="L98" s="17">
        <f>50</f>
        <v>50</v>
      </c>
      <c r="M98" s="18">
        <v>21</v>
      </c>
      <c r="N98" s="70">
        <f>(50-21)*0.7</f>
        <v>20.299999999999997</v>
      </c>
    </row>
    <row r="99" spans="1:16">
      <c r="A99" s="76" t="s">
        <v>279</v>
      </c>
      <c r="B99" s="44"/>
      <c r="C99" s="35">
        <v>45065</v>
      </c>
      <c r="D99" s="35">
        <v>45070</v>
      </c>
      <c r="E99" s="4"/>
      <c r="F99" s="40"/>
      <c r="G99" s="40"/>
      <c r="H99" s="5">
        <v>11.48</v>
      </c>
      <c r="I99" s="102">
        <f>21/30*5</f>
        <v>3.5</v>
      </c>
      <c r="J99" s="40"/>
      <c r="K99" s="40"/>
      <c r="L99" s="17">
        <f>50</f>
        <v>50</v>
      </c>
      <c r="M99" s="18">
        <v>21</v>
      </c>
      <c r="N99" s="70">
        <f>(50-21)*0.7</f>
        <v>20.299999999999997</v>
      </c>
    </row>
    <row r="100" spans="1:16">
      <c r="A100" s="76" t="s">
        <v>278</v>
      </c>
      <c r="B100" s="52"/>
      <c r="C100" s="57">
        <v>44973</v>
      </c>
      <c r="D100" s="57">
        <v>45070</v>
      </c>
      <c r="E100" s="24"/>
      <c r="F100" s="48"/>
      <c r="G100" s="48"/>
      <c r="H100" s="25">
        <v>11.48</v>
      </c>
      <c r="I100" s="103">
        <f>21/30*98</f>
        <v>68.599999999999994</v>
      </c>
      <c r="J100" s="48"/>
      <c r="K100" s="48"/>
      <c r="L100" s="17">
        <v>50</v>
      </c>
      <c r="M100" s="26">
        <v>21</v>
      </c>
      <c r="N100" s="85">
        <f>(50-21)*0.7</f>
        <v>20.299999999999997</v>
      </c>
    </row>
    <row r="101" spans="1:16">
      <c r="A101" s="44" t="s">
        <v>289</v>
      </c>
      <c r="B101" s="44"/>
      <c r="C101" s="35">
        <v>45110</v>
      </c>
      <c r="D101" s="35">
        <v>45127</v>
      </c>
      <c r="E101" s="4">
        <v>45110</v>
      </c>
      <c r="F101" s="40"/>
      <c r="G101" s="40"/>
      <c r="H101" s="5">
        <v>13.31</v>
      </c>
      <c r="I101" s="102">
        <f>27/30*17</f>
        <v>15.3</v>
      </c>
      <c r="J101" s="40">
        <v>45</v>
      </c>
      <c r="K101" s="40"/>
      <c r="L101" s="6">
        <v>75</v>
      </c>
      <c r="M101" s="6">
        <v>27</v>
      </c>
      <c r="N101" s="59">
        <f>(L101-M101)*0.7</f>
        <v>33.599999999999994</v>
      </c>
    </row>
    <row r="102" spans="1:16">
      <c r="A102" s="44" t="s">
        <v>292</v>
      </c>
      <c r="B102" s="44"/>
      <c r="C102" s="35">
        <v>45138</v>
      </c>
      <c r="D102" s="35">
        <v>45139</v>
      </c>
      <c r="E102" s="35">
        <v>45162</v>
      </c>
      <c r="F102" s="40"/>
      <c r="G102" s="40"/>
      <c r="H102" s="5">
        <v>12.48</v>
      </c>
      <c r="I102" s="102">
        <f>27/30*23</f>
        <v>20.7</v>
      </c>
      <c r="J102" s="40">
        <v>45</v>
      </c>
      <c r="K102" s="40"/>
      <c r="L102" s="6">
        <v>90</v>
      </c>
      <c r="M102" s="6">
        <v>27</v>
      </c>
      <c r="N102" s="59">
        <f>(L102-M102)*0.7</f>
        <v>44.099999999999994</v>
      </c>
    </row>
    <row r="103" spans="1:16">
      <c r="A103" s="44" t="s">
        <v>293</v>
      </c>
      <c r="B103" s="44"/>
      <c r="C103" s="35">
        <v>45086</v>
      </c>
      <c r="D103" s="35">
        <v>45089</v>
      </c>
      <c r="E103" s="4">
        <v>45103</v>
      </c>
      <c r="F103" s="40"/>
      <c r="G103" s="40"/>
      <c r="H103" s="5">
        <v>11.03</v>
      </c>
      <c r="I103" s="102">
        <f>21/30*14</f>
        <v>9.7999999999999989</v>
      </c>
      <c r="J103" s="40"/>
      <c r="K103" s="40"/>
      <c r="L103" s="6">
        <v>50</v>
      </c>
      <c r="M103" s="6">
        <v>21</v>
      </c>
      <c r="N103" s="59">
        <f>(L103-M103)*0.7</f>
        <v>20.299999999999997</v>
      </c>
    </row>
    <row r="104" spans="1:16">
      <c r="A104" s="44" t="s">
        <v>295</v>
      </c>
      <c r="B104" s="44"/>
      <c r="C104" s="35">
        <v>45228</v>
      </c>
      <c r="D104" s="35">
        <v>45203</v>
      </c>
      <c r="E104" s="4"/>
      <c r="F104" s="40"/>
      <c r="G104" s="40"/>
      <c r="H104" s="5">
        <v>13.31</v>
      </c>
      <c r="I104" s="102">
        <f>27/30*5</f>
        <v>4.5</v>
      </c>
      <c r="J104" s="40">
        <v>45</v>
      </c>
      <c r="K104" s="40"/>
      <c r="L104" s="6">
        <v>80</v>
      </c>
      <c r="M104" s="6">
        <v>27</v>
      </c>
      <c r="N104" s="59">
        <f>(L104-M104)*0.7</f>
        <v>37.099999999999994</v>
      </c>
    </row>
    <row r="105" spans="1:16">
      <c r="A105" s="44" t="s">
        <v>320</v>
      </c>
      <c r="B105" s="44"/>
      <c r="C105" s="35">
        <v>45177</v>
      </c>
      <c r="D105" s="35">
        <v>45196</v>
      </c>
      <c r="E105" s="4"/>
      <c r="F105" s="40"/>
      <c r="G105" s="40"/>
      <c r="H105" s="5">
        <v>10.44</v>
      </c>
      <c r="I105" s="102">
        <f>38/30*21</f>
        <v>26.599999999999998</v>
      </c>
      <c r="J105" s="40"/>
      <c r="K105" s="40"/>
      <c r="L105" s="6">
        <v>69</v>
      </c>
      <c r="M105" s="6">
        <v>38</v>
      </c>
      <c r="N105" s="59">
        <f>(69-38)*0.7</f>
        <v>21.7</v>
      </c>
    </row>
    <row r="106" spans="1:16">
      <c r="A106" s="44" t="s">
        <v>325</v>
      </c>
      <c r="B106" s="44"/>
      <c r="C106" s="35"/>
      <c r="D106" s="35">
        <v>45223</v>
      </c>
      <c r="E106" s="4">
        <v>45239</v>
      </c>
      <c r="F106" s="40"/>
      <c r="G106" s="40"/>
      <c r="H106" s="5">
        <v>40</v>
      </c>
      <c r="I106" s="102">
        <f>43/30*15</f>
        <v>21.5</v>
      </c>
      <c r="J106" s="40"/>
      <c r="K106" s="40"/>
      <c r="L106" s="6">
        <v>69</v>
      </c>
      <c r="M106" s="6">
        <v>43</v>
      </c>
      <c r="N106" s="94">
        <f>(69-43)*0.7</f>
        <v>18.2</v>
      </c>
      <c r="O106" s="72" t="s">
        <v>329</v>
      </c>
      <c r="P106" s="72">
        <v>12.74</v>
      </c>
    </row>
    <row r="107" spans="1:16">
      <c r="A107" s="44" t="s">
        <v>326</v>
      </c>
      <c r="B107" s="44"/>
      <c r="C107" s="35"/>
      <c r="D107" s="35">
        <v>45188</v>
      </c>
      <c r="E107" s="4">
        <v>45209</v>
      </c>
      <c r="F107" s="40"/>
      <c r="G107" s="40"/>
      <c r="H107" s="5">
        <v>11.48</v>
      </c>
      <c r="I107" s="102"/>
      <c r="J107" s="40"/>
      <c r="K107" s="40"/>
      <c r="L107" s="6">
        <v>59</v>
      </c>
      <c r="M107" s="6">
        <v>38</v>
      </c>
      <c r="N107" s="59">
        <f>(L107-M107)*0.7</f>
        <v>14.7</v>
      </c>
    </row>
    <row r="108" spans="1:16">
      <c r="A108" s="44" t="s">
        <v>108</v>
      </c>
      <c r="B108" s="44"/>
      <c r="C108" s="35"/>
      <c r="D108" s="35">
        <v>45231</v>
      </c>
      <c r="E108" s="4">
        <v>45231</v>
      </c>
      <c r="F108" s="40"/>
      <c r="G108" s="40"/>
      <c r="H108" s="5"/>
      <c r="I108" s="102"/>
      <c r="J108" s="40"/>
      <c r="K108" s="40"/>
      <c r="L108" s="6">
        <v>69</v>
      </c>
      <c r="M108" s="6">
        <v>43</v>
      </c>
      <c r="N108" s="59">
        <f>(L108-M108)*0.7</f>
        <v>18.2</v>
      </c>
    </row>
    <row r="109" spans="1:16">
      <c r="A109" s="44" t="s">
        <v>327</v>
      </c>
      <c r="B109" s="44"/>
      <c r="C109" s="35"/>
      <c r="D109" s="35"/>
      <c r="E109" s="4">
        <v>45127</v>
      </c>
      <c r="F109" s="40"/>
      <c r="G109" s="40"/>
      <c r="H109" s="5">
        <v>11.48</v>
      </c>
      <c r="I109" s="102"/>
      <c r="J109" s="40"/>
      <c r="K109" s="40"/>
      <c r="L109" s="6">
        <v>25</v>
      </c>
      <c r="M109" s="6">
        <v>9</v>
      </c>
      <c r="N109" s="59">
        <f>(L109-M109)*0.7</f>
        <v>11.2</v>
      </c>
    </row>
    <row r="110" spans="1:16">
      <c r="A110" s="44" t="s">
        <v>336</v>
      </c>
      <c r="B110" s="44"/>
      <c r="C110" s="35"/>
      <c r="D110" s="35">
        <v>45278</v>
      </c>
      <c r="E110" s="4">
        <v>45278</v>
      </c>
      <c r="F110" s="40"/>
      <c r="G110" s="40"/>
      <c r="H110" s="5"/>
      <c r="I110" s="102"/>
      <c r="J110" s="40"/>
      <c r="K110" s="40"/>
      <c r="L110" s="6">
        <v>69</v>
      </c>
      <c r="M110" s="6">
        <v>43</v>
      </c>
      <c r="N110" s="59">
        <f>(69-43)*0.7/30*42</f>
        <v>25.48</v>
      </c>
    </row>
    <row r="111" spans="1:16">
      <c r="A111" s="44" t="s">
        <v>337</v>
      </c>
      <c r="B111" s="44"/>
      <c r="C111" s="35">
        <v>45342</v>
      </c>
      <c r="D111" s="35">
        <v>44977</v>
      </c>
      <c r="E111" s="4">
        <v>45342</v>
      </c>
      <c r="F111" s="40"/>
      <c r="G111" s="40"/>
      <c r="H111" s="5">
        <v>13.78</v>
      </c>
      <c r="I111" s="102"/>
      <c r="J111" s="40">
        <f>45+50</f>
        <v>95</v>
      </c>
      <c r="K111" s="40"/>
      <c r="L111" s="6">
        <v>100</v>
      </c>
      <c r="M111" s="6">
        <v>38.5</v>
      </c>
      <c r="N111" s="59">
        <f t="shared" ref="N111:N132" si="2">(L111-M111)*0.7</f>
        <v>43.05</v>
      </c>
    </row>
    <row r="112" spans="1:16">
      <c r="A112" s="44" t="s">
        <v>338</v>
      </c>
      <c r="B112" s="44"/>
      <c r="C112" s="35">
        <v>45271</v>
      </c>
      <c r="D112" s="35"/>
      <c r="E112" s="4">
        <v>45301</v>
      </c>
      <c r="F112" s="40"/>
      <c r="G112" s="40"/>
      <c r="H112" s="5">
        <v>14.26</v>
      </c>
      <c r="I112" s="102">
        <f>25/30*29</f>
        <v>24.166666666666668</v>
      </c>
      <c r="J112" s="40">
        <f>30+50</f>
        <v>80</v>
      </c>
      <c r="K112" s="40"/>
      <c r="L112" s="6">
        <v>80</v>
      </c>
      <c r="M112" s="6">
        <v>29</v>
      </c>
      <c r="N112" s="59">
        <f t="shared" si="2"/>
        <v>35.699999999999996</v>
      </c>
      <c r="O112" t="s">
        <v>339</v>
      </c>
    </row>
    <row r="113" spans="1:14">
      <c r="A113" s="44" t="s">
        <v>333</v>
      </c>
      <c r="B113" s="44"/>
      <c r="C113" s="35"/>
      <c r="D113" s="35"/>
      <c r="E113" s="4">
        <v>45336</v>
      </c>
      <c r="F113" s="40"/>
      <c r="G113" s="40"/>
      <c r="H113" s="5">
        <v>10</v>
      </c>
      <c r="I113" s="102">
        <v>0</v>
      </c>
      <c r="J113" s="40">
        <v>120</v>
      </c>
      <c r="K113" s="40"/>
      <c r="L113" s="6">
        <v>160</v>
      </c>
      <c r="M113" s="6">
        <v>72</v>
      </c>
      <c r="N113" s="59">
        <f t="shared" si="2"/>
        <v>61.599999999999994</v>
      </c>
    </row>
    <row r="114" spans="1:14">
      <c r="A114" s="44" t="s">
        <v>343</v>
      </c>
      <c r="B114" s="44"/>
      <c r="C114" s="35"/>
      <c r="D114" s="35"/>
      <c r="E114" s="4">
        <v>45336</v>
      </c>
      <c r="F114" s="40"/>
      <c r="G114" s="40"/>
      <c r="H114" s="5">
        <v>10.92</v>
      </c>
      <c r="I114" s="102"/>
      <c r="J114" s="40"/>
      <c r="K114" s="40"/>
      <c r="L114" s="6">
        <v>59</v>
      </c>
      <c r="M114" s="6">
        <v>38</v>
      </c>
      <c r="N114" s="59">
        <f t="shared" si="2"/>
        <v>14.7</v>
      </c>
    </row>
    <row r="115" spans="1:14">
      <c r="A115" s="44" t="s">
        <v>381</v>
      </c>
      <c r="B115" s="44"/>
      <c r="C115" s="35"/>
      <c r="D115" s="35">
        <v>45323</v>
      </c>
      <c r="E115" s="4">
        <v>45323</v>
      </c>
      <c r="F115" s="40"/>
      <c r="G115" s="40"/>
      <c r="H115" s="5">
        <v>10.92</v>
      </c>
      <c r="I115" s="102"/>
      <c r="J115" s="40"/>
      <c r="K115" s="40"/>
      <c r="L115" s="6">
        <v>59</v>
      </c>
      <c r="M115" s="6">
        <v>38</v>
      </c>
      <c r="N115" s="59">
        <f t="shared" si="2"/>
        <v>14.7</v>
      </c>
    </row>
    <row r="116" spans="1:14">
      <c r="A116" s="44" t="s">
        <v>345</v>
      </c>
      <c r="B116" s="44"/>
      <c r="C116" s="35"/>
      <c r="D116" s="35"/>
      <c r="E116" s="4">
        <v>45345</v>
      </c>
      <c r="F116" s="40"/>
      <c r="G116" s="40"/>
      <c r="H116" s="5">
        <v>24.2</v>
      </c>
      <c r="I116" s="102"/>
      <c r="J116" s="40">
        <v>45</v>
      </c>
      <c r="K116" s="40"/>
      <c r="L116" s="6">
        <v>90</v>
      </c>
      <c r="M116" s="6">
        <f>7+9</f>
        <v>16</v>
      </c>
      <c r="N116" s="59">
        <f t="shared" si="2"/>
        <v>51.8</v>
      </c>
    </row>
    <row r="117" spans="1:14">
      <c r="A117" s="44" t="s">
        <v>346</v>
      </c>
      <c r="B117" s="44"/>
      <c r="C117" s="35"/>
      <c r="D117" s="35"/>
      <c r="E117" s="4">
        <v>45334</v>
      </c>
      <c r="F117" s="40"/>
      <c r="G117" s="40"/>
      <c r="H117" s="5">
        <v>12.01</v>
      </c>
      <c r="I117" s="102"/>
      <c r="J117" s="40">
        <v>15</v>
      </c>
      <c r="K117" s="40"/>
      <c r="L117" s="6">
        <v>20</v>
      </c>
      <c r="M117" s="6">
        <v>9</v>
      </c>
      <c r="N117" s="70">
        <f t="shared" si="2"/>
        <v>7.6999999999999993</v>
      </c>
    </row>
    <row r="118" spans="1:14">
      <c r="A118" s="44" t="s">
        <v>361</v>
      </c>
      <c r="B118" s="44"/>
      <c r="C118" s="35"/>
      <c r="D118" s="35">
        <v>45366</v>
      </c>
      <c r="E118" s="4">
        <v>45385</v>
      </c>
      <c r="F118" s="40"/>
      <c r="G118" s="40"/>
      <c r="H118" s="5"/>
      <c r="I118" s="102">
        <f>69/30*18</f>
        <v>41.4</v>
      </c>
      <c r="J118" s="40"/>
      <c r="K118" s="40"/>
      <c r="L118" s="6">
        <v>69</v>
      </c>
      <c r="M118" s="6">
        <v>43</v>
      </c>
      <c r="N118" s="70">
        <f t="shared" si="2"/>
        <v>18.2</v>
      </c>
    </row>
    <row r="119" spans="1:14">
      <c r="A119" s="44" t="s">
        <v>365</v>
      </c>
      <c r="B119" s="44"/>
      <c r="C119" s="35"/>
      <c r="D119" s="35">
        <v>45450</v>
      </c>
      <c r="E119" s="4">
        <v>45456</v>
      </c>
      <c r="F119" s="40"/>
      <c r="G119" s="40"/>
      <c r="H119" s="5"/>
      <c r="I119" s="102">
        <f>47/30*5</f>
        <v>7.833333333333333</v>
      </c>
      <c r="J119" s="40"/>
      <c r="K119" s="40"/>
      <c r="L119" s="6">
        <v>69</v>
      </c>
      <c r="M119" s="6">
        <v>47</v>
      </c>
      <c r="N119" s="59">
        <f t="shared" si="2"/>
        <v>15.399999999999999</v>
      </c>
    </row>
    <row r="120" spans="1:14">
      <c r="A120" s="44" t="s">
        <v>358</v>
      </c>
      <c r="B120" s="44"/>
      <c r="C120" s="35"/>
      <c r="D120" s="35">
        <v>45468</v>
      </c>
      <c r="E120" s="4">
        <v>45468</v>
      </c>
      <c r="F120" s="40"/>
      <c r="G120" s="40"/>
      <c r="H120" s="5">
        <v>12.01</v>
      </c>
      <c r="I120" s="102"/>
      <c r="J120" s="40"/>
      <c r="K120" s="40"/>
      <c r="L120" s="6">
        <v>59</v>
      </c>
      <c r="M120" s="6">
        <v>38</v>
      </c>
      <c r="N120" s="59">
        <f t="shared" si="2"/>
        <v>14.7</v>
      </c>
    </row>
    <row r="121" spans="1:14">
      <c r="A121" s="44" t="s">
        <v>218</v>
      </c>
      <c r="B121" s="44"/>
      <c r="C121" s="35"/>
      <c r="D121" s="35">
        <v>45456</v>
      </c>
      <c r="E121" s="4">
        <v>45456</v>
      </c>
      <c r="F121" s="40"/>
      <c r="G121" s="40"/>
      <c r="H121" s="5">
        <v>10</v>
      </c>
      <c r="I121" s="102"/>
      <c r="J121" s="40">
        <v>45</v>
      </c>
      <c r="K121" s="40"/>
      <c r="L121" s="6">
        <v>80</v>
      </c>
      <c r="M121" s="6">
        <v>27</v>
      </c>
      <c r="N121" s="59">
        <f t="shared" si="2"/>
        <v>37.099999999999994</v>
      </c>
    </row>
    <row r="122" spans="1:14">
      <c r="A122" s="44" t="s">
        <v>366</v>
      </c>
      <c r="B122" s="44"/>
      <c r="C122" s="35"/>
      <c r="D122" s="35">
        <v>45454</v>
      </c>
      <c r="E122" s="4"/>
      <c r="F122" s="40"/>
      <c r="G122" s="40"/>
      <c r="H122" s="5"/>
      <c r="I122" s="102"/>
      <c r="J122" s="40"/>
      <c r="K122" s="40"/>
      <c r="L122" s="6">
        <v>59</v>
      </c>
      <c r="M122" s="6">
        <v>38</v>
      </c>
      <c r="N122" s="59">
        <f t="shared" si="2"/>
        <v>14.7</v>
      </c>
    </row>
    <row r="123" spans="1:14">
      <c r="A123" s="44" t="s">
        <v>64</v>
      </c>
      <c r="B123" s="44"/>
      <c r="C123" s="35"/>
      <c r="D123" s="35">
        <v>45469</v>
      </c>
      <c r="E123" s="4">
        <v>45469</v>
      </c>
      <c r="F123" s="40"/>
      <c r="G123" s="40"/>
      <c r="H123" s="5"/>
      <c r="I123" s="102"/>
      <c r="J123" s="40"/>
      <c r="K123" s="40"/>
      <c r="L123" s="6">
        <v>100</v>
      </c>
      <c r="M123" s="18">
        <v>5</v>
      </c>
      <c r="N123" s="59">
        <f t="shared" si="2"/>
        <v>66.5</v>
      </c>
    </row>
    <row r="124" spans="1:14">
      <c r="A124" s="44" t="s">
        <v>369</v>
      </c>
      <c r="B124" s="44"/>
      <c r="C124" s="35"/>
      <c r="D124" s="35">
        <v>45464</v>
      </c>
      <c r="E124" s="4">
        <v>41811</v>
      </c>
      <c r="F124" s="40"/>
      <c r="G124" s="40"/>
      <c r="H124" s="5">
        <v>24.98</v>
      </c>
      <c r="I124" s="102"/>
      <c r="J124" s="40">
        <v>15</v>
      </c>
      <c r="K124" s="40"/>
      <c r="L124" s="6">
        <v>80</v>
      </c>
      <c r="M124" s="6">
        <v>42.5</v>
      </c>
      <c r="N124" s="59">
        <f t="shared" si="2"/>
        <v>26.25</v>
      </c>
    </row>
    <row r="125" spans="1:14">
      <c r="A125" s="44" t="s">
        <v>370</v>
      </c>
      <c r="B125" s="44"/>
      <c r="C125" s="35"/>
      <c r="D125" s="35">
        <v>45444</v>
      </c>
      <c r="E125" s="4">
        <v>41791</v>
      </c>
      <c r="F125" s="40"/>
      <c r="G125" s="40"/>
      <c r="H125" s="5">
        <v>12.98</v>
      </c>
      <c r="I125" s="102"/>
      <c r="J125" s="40">
        <v>30</v>
      </c>
      <c r="K125" s="40"/>
      <c r="L125" s="6">
        <v>65</v>
      </c>
      <c r="M125" s="6">
        <v>18</v>
      </c>
      <c r="N125" s="59">
        <f t="shared" si="2"/>
        <v>32.9</v>
      </c>
    </row>
    <row r="126" spans="1:14">
      <c r="A126" s="44" t="s">
        <v>375</v>
      </c>
      <c r="B126" s="44"/>
      <c r="C126" s="35"/>
      <c r="D126" s="35">
        <v>45471</v>
      </c>
      <c r="E126" s="35">
        <v>45471</v>
      </c>
      <c r="F126" s="40"/>
      <c r="G126" s="40"/>
      <c r="H126" s="5">
        <f>10+12.01</f>
        <v>22.009999999999998</v>
      </c>
      <c r="I126" s="102"/>
      <c r="J126" s="40">
        <v>30</v>
      </c>
      <c r="K126" s="40"/>
      <c r="L126" s="6">
        <v>90</v>
      </c>
      <c r="M126" s="18">
        <f>38.5+1+18</f>
        <v>57.5</v>
      </c>
      <c r="N126" s="70">
        <f t="shared" si="2"/>
        <v>22.75</v>
      </c>
    </row>
    <row r="127" spans="1:14">
      <c r="A127" s="44" t="s">
        <v>83</v>
      </c>
      <c r="B127" s="44"/>
      <c r="C127" s="35"/>
      <c r="D127" s="35">
        <v>45482</v>
      </c>
      <c r="E127" s="35">
        <v>45482</v>
      </c>
      <c r="F127" s="40"/>
      <c r="G127" s="40"/>
      <c r="H127" s="5"/>
      <c r="I127" s="102"/>
      <c r="J127" s="40"/>
      <c r="K127" s="40"/>
      <c r="L127" s="6">
        <v>69</v>
      </c>
      <c r="M127" s="18">
        <v>43</v>
      </c>
      <c r="N127" s="70">
        <f t="shared" si="2"/>
        <v>18.2</v>
      </c>
    </row>
    <row r="128" spans="1:14">
      <c r="A128" s="44" t="s">
        <v>383</v>
      </c>
      <c r="B128" s="44"/>
      <c r="C128" s="35"/>
      <c r="D128" s="35">
        <v>45434</v>
      </c>
      <c r="E128" s="35">
        <v>45513</v>
      </c>
      <c r="F128" s="40"/>
      <c r="G128" s="40"/>
      <c r="H128" s="5">
        <v>14.58</v>
      </c>
      <c r="I128" s="102"/>
      <c r="J128" s="40"/>
      <c r="K128" s="40"/>
      <c r="L128" s="6">
        <v>69</v>
      </c>
      <c r="M128" s="18">
        <v>43</v>
      </c>
      <c r="N128" s="70">
        <f t="shared" si="2"/>
        <v>18.2</v>
      </c>
    </row>
    <row r="129" spans="1:14">
      <c r="A129" s="44" t="s">
        <v>384</v>
      </c>
      <c r="B129" s="44"/>
      <c r="C129" s="35"/>
      <c r="D129" s="35"/>
      <c r="E129" s="35">
        <v>45513</v>
      </c>
      <c r="F129" s="40"/>
      <c r="G129" s="40"/>
      <c r="H129" s="5"/>
      <c r="I129" s="102"/>
      <c r="J129" s="40">
        <v>60</v>
      </c>
      <c r="K129" s="40"/>
      <c r="L129" s="6">
        <v>105</v>
      </c>
      <c r="M129" s="6">
        <v>36</v>
      </c>
      <c r="N129" s="70">
        <f t="shared" si="2"/>
        <v>48.3</v>
      </c>
    </row>
    <row r="130" spans="1:14">
      <c r="A130" s="44" t="s">
        <v>389</v>
      </c>
      <c r="B130" s="44"/>
      <c r="C130" s="35"/>
      <c r="D130" s="35">
        <v>45574</v>
      </c>
      <c r="E130" s="35">
        <v>45574</v>
      </c>
      <c r="F130" s="40"/>
      <c r="G130" s="40"/>
      <c r="H130" s="5"/>
      <c r="I130" s="102"/>
      <c r="J130" s="40"/>
      <c r="K130" s="40"/>
      <c r="L130" s="6">
        <v>10</v>
      </c>
      <c r="M130" s="6">
        <v>1</v>
      </c>
      <c r="N130" s="59">
        <f t="shared" si="2"/>
        <v>6.3</v>
      </c>
    </row>
    <row r="131" spans="1:14">
      <c r="A131" s="44" t="s">
        <v>397</v>
      </c>
      <c r="B131" s="44"/>
      <c r="C131" s="35"/>
      <c r="D131" s="35">
        <v>45510</v>
      </c>
      <c r="E131" s="35">
        <v>45574</v>
      </c>
      <c r="F131" s="40"/>
      <c r="G131" s="40"/>
      <c r="H131" s="5">
        <v>31.89</v>
      </c>
      <c r="I131" s="102">
        <f>79/30*63*0.5</f>
        <v>82.95</v>
      </c>
      <c r="J131" s="40">
        <v>60</v>
      </c>
      <c r="K131" s="40"/>
      <c r="L131" s="6">
        <v>174</v>
      </c>
      <c r="M131" s="6">
        <v>79</v>
      </c>
      <c r="N131" s="59">
        <f t="shared" si="2"/>
        <v>66.5</v>
      </c>
    </row>
    <row r="132" spans="1:14">
      <c r="A132" s="44" t="s">
        <v>398</v>
      </c>
      <c r="B132" s="44"/>
      <c r="C132" s="35"/>
      <c r="D132" s="35">
        <v>45516</v>
      </c>
      <c r="E132" s="35">
        <v>45583</v>
      </c>
      <c r="F132" s="40"/>
      <c r="G132" s="40"/>
      <c r="H132" s="5"/>
      <c r="I132" s="102">
        <f>56.5/30*66*0.5</f>
        <v>62.15</v>
      </c>
      <c r="J132" s="40">
        <v>75</v>
      </c>
      <c r="K132" s="40"/>
      <c r="L132" s="6">
        <v>140</v>
      </c>
      <c r="M132" s="6">
        <v>56.5</v>
      </c>
      <c r="N132" s="59">
        <f t="shared" si="2"/>
        <v>58.449999999999996</v>
      </c>
    </row>
    <row r="133" spans="1:14">
      <c r="A133" s="44" t="s">
        <v>390</v>
      </c>
      <c r="B133" s="44"/>
      <c r="C133" s="35"/>
      <c r="D133" s="35">
        <v>45573</v>
      </c>
      <c r="E133" s="35">
        <v>45621</v>
      </c>
      <c r="F133" s="40"/>
      <c r="G133" s="40"/>
      <c r="H133" s="5">
        <v>16.940000000000001</v>
      </c>
      <c r="I133" s="102">
        <f>47.5/30*47</f>
        <v>74.416666666666657</v>
      </c>
      <c r="J133" s="40">
        <v>60</v>
      </c>
      <c r="K133" s="40"/>
      <c r="L133" s="6">
        <v>130</v>
      </c>
      <c r="M133" s="6">
        <v>63.5</v>
      </c>
      <c r="N133" s="59">
        <f>(L133-M133)*0.7</f>
        <v>46.55</v>
      </c>
    </row>
    <row r="134" spans="1:14">
      <c r="A134" s="44" t="s">
        <v>406</v>
      </c>
      <c r="B134" s="44"/>
      <c r="C134" s="35">
        <v>45624</v>
      </c>
      <c r="D134" s="35">
        <v>45631</v>
      </c>
      <c r="E134" s="35">
        <v>45631</v>
      </c>
      <c r="F134" s="40"/>
      <c r="G134" s="40"/>
      <c r="H134" s="5">
        <v>13.98</v>
      </c>
      <c r="I134" s="102"/>
      <c r="J134" s="40">
        <v>15</v>
      </c>
      <c r="K134" s="40"/>
      <c r="L134" s="6">
        <v>59</v>
      </c>
      <c r="M134" s="6">
        <v>38</v>
      </c>
      <c r="N134" s="59">
        <f>(L134-M134)*0.7</f>
        <v>14.7</v>
      </c>
    </row>
    <row r="135" spans="1:14">
      <c r="A135" s="44" t="s">
        <v>410</v>
      </c>
      <c r="B135" s="44"/>
      <c r="C135" s="35"/>
      <c r="D135" s="35"/>
      <c r="E135" s="35">
        <v>45613</v>
      </c>
      <c r="F135" s="40"/>
      <c r="G135" s="40"/>
      <c r="H135" s="5">
        <v>10</v>
      </c>
      <c r="I135" s="102">
        <f>-(14*14+14/30*13)</f>
        <v>-202.06666666666666</v>
      </c>
      <c r="J135" s="40">
        <v>15</v>
      </c>
      <c r="K135" s="40"/>
      <c r="L135" s="6">
        <v>30</v>
      </c>
      <c r="M135" s="6">
        <v>10</v>
      </c>
      <c r="N135" s="59">
        <f t="shared" ref="N135" si="3">(L135-M135)*0.7</f>
        <v>14</v>
      </c>
    </row>
    <row r="136" spans="1:14">
      <c r="A136" s="10" t="s">
        <v>408</v>
      </c>
      <c r="B136" s="44"/>
      <c r="C136" s="35"/>
      <c r="D136" s="35">
        <v>45642</v>
      </c>
      <c r="E136" s="35">
        <v>45706</v>
      </c>
      <c r="F136" s="40"/>
      <c r="G136" s="40"/>
      <c r="H136" s="5">
        <v>31.21</v>
      </c>
      <c r="I136" s="102">
        <f>50/30*62</f>
        <v>103.33333333333334</v>
      </c>
      <c r="J136" s="40">
        <f>15*7</f>
        <v>105</v>
      </c>
      <c r="K136" s="40"/>
      <c r="L136" s="6">
        <v>210</v>
      </c>
      <c r="M136" s="6">
        <v>94</v>
      </c>
      <c r="N136" s="59">
        <f>(L136-M136)*0.7/30*12</f>
        <v>32.47999999999999</v>
      </c>
    </row>
    <row r="137" spans="1:14">
      <c r="A137" s="10" t="s">
        <v>402</v>
      </c>
      <c r="B137" s="44"/>
      <c r="C137" s="35"/>
      <c r="D137" s="35">
        <v>45637</v>
      </c>
      <c r="E137" s="35">
        <v>45698</v>
      </c>
      <c r="F137" s="40"/>
      <c r="G137" s="40"/>
      <c r="H137" s="5">
        <v>13.98</v>
      </c>
      <c r="I137" s="102">
        <f>45/30*59</f>
        <v>88.5</v>
      </c>
      <c r="J137" s="40">
        <v>30</v>
      </c>
      <c r="K137" s="40"/>
      <c r="L137" s="6">
        <v>120</v>
      </c>
      <c r="M137" s="6">
        <v>45</v>
      </c>
      <c r="N137" s="59">
        <f>(L137-M137)*0.7/30*20</f>
        <v>35</v>
      </c>
    </row>
    <row r="138" spans="1:14">
      <c r="A138" s="10" t="s">
        <v>392</v>
      </c>
      <c r="B138" s="44"/>
      <c r="C138" s="35"/>
      <c r="D138" s="35"/>
      <c r="E138" s="35">
        <v>45694</v>
      </c>
      <c r="F138" s="40"/>
      <c r="G138" s="40"/>
      <c r="H138" s="5">
        <v>31.89</v>
      </c>
      <c r="I138" s="102" t="s">
        <v>414</v>
      </c>
      <c r="J138" s="40">
        <v>75</v>
      </c>
      <c r="K138" s="40"/>
      <c r="L138" s="6">
        <v>145</v>
      </c>
      <c r="M138" s="6">
        <v>72</v>
      </c>
      <c r="N138" s="59">
        <f>(L138-M138)*0.7/30*24</f>
        <v>40.879999999999995</v>
      </c>
    </row>
    <row r="139" spans="1:14">
      <c r="C139" s="36"/>
      <c r="D139" s="36"/>
      <c r="F139" s="28"/>
      <c r="G139" s="28"/>
      <c r="H139" s="30"/>
      <c r="I139" s="30"/>
      <c r="M139" s="62" t="s">
        <v>4</v>
      </c>
      <c r="N139" s="18">
        <f>SUM(N2:N137)</f>
        <v>4932.3099999999977</v>
      </c>
    </row>
    <row r="140" spans="1:14">
      <c r="C140" s="36"/>
      <c r="D140" s="36"/>
      <c r="F140" s="28"/>
      <c r="G140" s="28"/>
      <c r="H140" s="30"/>
      <c r="I140" s="104"/>
      <c r="M140" s="61" t="s">
        <v>251</v>
      </c>
      <c r="N140" s="6">
        <f>N139-1204</f>
        <v>3728.3099999999977</v>
      </c>
    </row>
    <row r="141" spans="1:14">
      <c r="C141" s="36"/>
      <c r="D141" s="36"/>
      <c r="F141" s="28"/>
      <c r="G141" s="28"/>
      <c r="H141" s="30"/>
      <c r="I141" s="104"/>
    </row>
    <row r="143" spans="1:14">
      <c r="A143" s="28"/>
      <c r="B143" s="28"/>
      <c r="E143" s="15"/>
      <c r="F143" s="1"/>
      <c r="G143" s="1"/>
      <c r="H143" s="1"/>
      <c r="J143" s="1"/>
      <c r="K143" s="1"/>
      <c r="L143" s="1"/>
      <c r="M143" s="1"/>
      <c r="N143" s="29"/>
    </row>
    <row r="144" spans="1:14">
      <c r="L144" s="1" t="s">
        <v>412</v>
      </c>
      <c r="M144" s="1">
        <f>-2.9*250</f>
        <v>-725</v>
      </c>
    </row>
    <row r="145" spans="8:16">
      <c r="H145" s="30"/>
      <c r="L145" s="1"/>
      <c r="M145"/>
    </row>
    <row r="146" spans="8:16">
      <c r="M146"/>
      <c r="P146" s="42"/>
    </row>
    <row r="147" spans="8:16">
      <c r="L147" s="1"/>
    </row>
    <row r="148" spans="8:16">
      <c r="L148" s="1"/>
      <c r="N148" s="108"/>
      <c r="P148" s="42"/>
    </row>
    <row r="149" spans="8:16">
      <c r="L149" s="1"/>
    </row>
    <row r="150" spans="8:16">
      <c r="L150" s="1"/>
      <c r="N150" s="1"/>
      <c r="P150" s="42"/>
    </row>
    <row r="151" spans="8:16">
      <c r="L151" s="1"/>
    </row>
    <row r="152" spans="8:16">
      <c r="L152" s="1"/>
    </row>
  </sheetData>
  <autoFilter ref="A1:P140">
    <sortState ref="A2:P95">
      <sortCondition ref="B1:B95"/>
    </sortState>
  </autoFilter>
  <pageMargins left="0.7" right="0.7" top="0.75" bottom="0.75" header="0.3" footer="0.3"/>
  <pageSetup paperSize="9"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>
  <dimension ref="A1:P155"/>
  <sheetViews>
    <sheetView topLeftCell="B132" workbookViewId="0">
      <selection activeCell="N51" sqref="N51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2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30</v>
      </c>
      <c r="B13" s="2"/>
      <c r="C13" s="4">
        <v>42732</v>
      </c>
      <c r="D13" s="4"/>
      <c r="E13" s="4">
        <v>42759</v>
      </c>
      <c r="F13" s="5"/>
      <c r="G13" s="49"/>
      <c r="H13" s="5">
        <v>18.8</v>
      </c>
      <c r="I13" s="102">
        <f>M13/30*27</f>
        <v>23.400000000000002</v>
      </c>
      <c r="J13" s="5"/>
      <c r="K13" s="5"/>
      <c r="L13" s="6">
        <v>90</v>
      </c>
      <c r="M13" s="62">
        <v>26</v>
      </c>
      <c r="N13" s="18">
        <f t="shared" si="0"/>
        <v>44.8</v>
      </c>
    </row>
    <row r="14" spans="1:15">
      <c r="A14" s="2" t="s">
        <v>31</v>
      </c>
      <c r="B14" s="2"/>
      <c r="C14" s="4">
        <v>42735</v>
      </c>
      <c r="D14" s="4"/>
      <c r="E14" s="4">
        <v>42782</v>
      </c>
      <c r="F14" s="5">
        <v>50</v>
      </c>
      <c r="G14" s="49"/>
      <c r="H14" s="5">
        <v>20.63</v>
      </c>
      <c r="I14" s="102">
        <f>M14/30*46</f>
        <v>42.933333333333337</v>
      </c>
      <c r="J14" s="5"/>
      <c r="K14" s="5"/>
      <c r="L14" s="6">
        <v>92</v>
      </c>
      <c r="M14" s="61">
        <v>28</v>
      </c>
      <c r="N14" s="6">
        <f t="shared" si="0"/>
        <v>44.8</v>
      </c>
    </row>
    <row r="15" spans="1:15">
      <c r="A15" s="2" t="s">
        <v>32</v>
      </c>
      <c r="B15" s="2"/>
      <c r="C15" s="4">
        <v>42857</v>
      </c>
      <c r="D15" s="4"/>
      <c r="E15" s="4">
        <v>42866</v>
      </c>
      <c r="F15" s="5"/>
      <c r="G15" s="49"/>
      <c r="H15" s="5"/>
      <c r="I15" s="102">
        <f>23/30*9</f>
        <v>6.9</v>
      </c>
      <c r="J15" s="5">
        <f>60*0.7</f>
        <v>42</v>
      </c>
      <c r="K15" s="5"/>
      <c r="L15" s="6">
        <v>60</v>
      </c>
      <c r="M15" s="61">
        <v>23</v>
      </c>
      <c r="N15" s="6">
        <f t="shared" si="0"/>
        <v>25.9</v>
      </c>
    </row>
    <row r="16" spans="1:15">
      <c r="A16" s="2" t="s">
        <v>37</v>
      </c>
      <c r="B16" s="2"/>
      <c r="C16" s="4">
        <v>42891</v>
      </c>
      <c r="D16" s="4"/>
      <c r="E16" s="4">
        <v>42915</v>
      </c>
      <c r="F16" s="5"/>
      <c r="G16" s="49"/>
      <c r="H16" s="5">
        <v>6.83</v>
      </c>
      <c r="I16" s="102">
        <f>24/30*24</f>
        <v>19.200000000000003</v>
      </c>
      <c r="J16" s="5"/>
      <c r="K16" s="5"/>
      <c r="L16" s="6">
        <v>70</v>
      </c>
      <c r="M16" s="61">
        <v>24</v>
      </c>
      <c r="N16" s="6">
        <f t="shared" si="0"/>
        <v>32.199999999999996</v>
      </c>
    </row>
    <row r="17" spans="1:15">
      <c r="A17" s="2" t="s">
        <v>39</v>
      </c>
      <c r="B17" s="2"/>
      <c r="C17" s="4">
        <v>43081</v>
      </c>
      <c r="D17" s="4"/>
      <c r="E17" s="4">
        <v>43109</v>
      </c>
      <c r="F17" s="5"/>
      <c r="G17" s="49"/>
      <c r="H17" s="5">
        <v>9.83</v>
      </c>
      <c r="I17" s="102">
        <f>36/30*28</f>
        <v>33.6</v>
      </c>
      <c r="J17" s="5"/>
      <c r="K17" s="5"/>
      <c r="L17" s="6">
        <v>120</v>
      </c>
      <c r="M17" s="61">
        <v>36</v>
      </c>
      <c r="N17" s="6">
        <f t="shared" si="0"/>
        <v>58.8</v>
      </c>
    </row>
    <row r="18" spans="1:15">
      <c r="A18" s="22" t="s">
        <v>56</v>
      </c>
      <c r="B18" s="22"/>
      <c r="C18" s="4">
        <v>43361</v>
      </c>
      <c r="D18" s="4"/>
      <c r="E18" s="4">
        <v>43132</v>
      </c>
      <c r="F18" s="5"/>
      <c r="G18" s="49"/>
      <c r="H18" s="5">
        <v>14.11</v>
      </c>
      <c r="I18" s="102">
        <f>25*4+25/30*12</f>
        <v>110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44</v>
      </c>
      <c r="B19" s="2"/>
      <c r="C19" s="4">
        <v>43196</v>
      </c>
      <c r="D19" s="4"/>
      <c r="E19" s="4">
        <v>43250</v>
      </c>
      <c r="F19" s="5"/>
      <c r="G19" s="49"/>
      <c r="H19" s="5">
        <v>13.78</v>
      </c>
      <c r="I19" s="102">
        <f>25*24/30+25</f>
        <v>45</v>
      </c>
      <c r="J19" s="5"/>
      <c r="K19" s="5"/>
      <c r="L19" s="6">
        <v>11</v>
      </c>
      <c r="M19" s="61">
        <v>25</v>
      </c>
      <c r="N19" s="6">
        <v>9.7999999999999989</v>
      </c>
    </row>
    <row r="20" spans="1:15">
      <c r="A20" s="22" t="s">
        <v>47</v>
      </c>
      <c r="B20" s="22"/>
      <c r="C20" s="4">
        <v>43355</v>
      </c>
      <c r="D20" s="4"/>
      <c r="E20" s="4">
        <v>43277</v>
      </c>
      <c r="F20" s="5"/>
      <c r="G20" s="49"/>
      <c r="H20" s="5">
        <v>19.98</v>
      </c>
      <c r="I20" s="102">
        <f>36*2+36/30*16</f>
        <v>91.2</v>
      </c>
      <c r="J20" s="5"/>
      <c r="K20" s="5"/>
      <c r="L20" s="6">
        <v>105</v>
      </c>
      <c r="M20" s="61">
        <v>36</v>
      </c>
      <c r="N20" s="6">
        <f t="shared" si="0"/>
        <v>48.3</v>
      </c>
    </row>
    <row r="21" spans="1:15">
      <c r="A21" s="22" t="s">
        <v>48</v>
      </c>
      <c r="B21" s="22"/>
      <c r="C21" s="4">
        <v>43367</v>
      </c>
      <c r="D21" s="4"/>
      <c r="E21" s="4">
        <v>43284</v>
      </c>
      <c r="F21" s="5"/>
      <c r="G21" s="49"/>
      <c r="H21" s="5">
        <v>9.1</v>
      </c>
      <c r="I21" s="102">
        <f>25+25/30*27</f>
        <v>47.5</v>
      </c>
      <c r="J21" s="5"/>
      <c r="K21" s="5"/>
      <c r="L21" s="6">
        <v>75</v>
      </c>
      <c r="M21" s="61">
        <v>25</v>
      </c>
      <c r="N21" s="6">
        <f t="shared" si="0"/>
        <v>35</v>
      </c>
    </row>
    <row r="22" spans="1:15">
      <c r="A22" s="2" t="s">
        <v>45</v>
      </c>
      <c r="B22" s="2"/>
      <c r="C22" s="4"/>
      <c r="D22" s="4"/>
      <c r="E22" s="4">
        <v>43286</v>
      </c>
      <c r="F22" s="5"/>
      <c r="G22" s="49"/>
      <c r="H22" s="5">
        <v>11.56</v>
      </c>
      <c r="I22" s="102"/>
      <c r="J22" s="5"/>
      <c r="K22" s="5"/>
      <c r="L22" s="6">
        <v>150</v>
      </c>
      <c r="M22" s="61">
        <v>76</v>
      </c>
      <c r="N22" s="6">
        <f t="shared" si="0"/>
        <v>51.8</v>
      </c>
      <c r="O22" s="20"/>
    </row>
    <row r="23" spans="1:15">
      <c r="A23" s="22" t="s">
        <v>49</v>
      </c>
      <c r="B23" s="22"/>
      <c r="C23" s="4">
        <v>43367</v>
      </c>
      <c r="D23" s="4"/>
      <c r="E23" s="4">
        <v>43291</v>
      </c>
      <c r="F23" s="5"/>
      <c r="G23" s="49"/>
      <c r="H23" s="5">
        <v>10.039999999999999</v>
      </c>
      <c r="I23" s="102">
        <f>50+25/30*14</f>
        <v>61.666666666666671</v>
      </c>
      <c r="J23" s="5"/>
      <c r="K23" s="5"/>
      <c r="L23" s="6">
        <v>50</v>
      </c>
      <c r="M23" s="61">
        <v>22</v>
      </c>
      <c r="N23" s="18">
        <f t="shared" si="0"/>
        <v>19.599999999999998</v>
      </c>
    </row>
    <row r="24" spans="1:15">
      <c r="A24" s="22" t="s">
        <v>51</v>
      </c>
      <c r="B24" s="22"/>
      <c r="C24" s="4">
        <v>43358</v>
      </c>
      <c r="D24" s="4"/>
      <c r="E24" s="4">
        <v>43291</v>
      </c>
      <c r="F24" s="5"/>
      <c r="G24" s="49"/>
      <c r="H24" s="5">
        <v>10.039999999999999</v>
      </c>
      <c r="I24" s="102">
        <f>50+25/30*5</f>
        <v>54.166666666666664</v>
      </c>
      <c r="J24" s="5"/>
      <c r="K24" s="5"/>
      <c r="L24" s="6">
        <v>75</v>
      </c>
      <c r="M24" s="61">
        <v>25</v>
      </c>
      <c r="N24" s="6">
        <f t="shared" si="0"/>
        <v>35</v>
      </c>
    </row>
    <row r="25" spans="1:15">
      <c r="A25" s="22" t="s">
        <v>52</v>
      </c>
      <c r="B25" s="22"/>
      <c r="C25" s="4">
        <v>43367</v>
      </c>
      <c r="D25" s="4"/>
      <c r="E25" s="4">
        <v>43308</v>
      </c>
      <c r="F25" s="5"/>
      <c r="G25" s="49"/>
      <c r="H25" s="5">
        <v>10.86</v>
      </c>
      <c r="I25" s="102">
        <f>25+25/30*27</f>
        <v>47.5</v>
      </c>
      <c r="J25" s="5"/>
      <c r="K25" s="5"/>
      <c r="L25" s="6">
        <v>75</v>
      </c>
      <c r="M25" s="61">
        <v>25</v>
      </c>
      <c r="N25" s="27">
        <f t="shared" si="0"/>
        <v>35</v>
      </c>
    </row>
    <row r="26" spans="1:15">
      <c r="A26" s="22" t="s">
        <v>50</v>
      </c>
      <c r="B26" s="22"/>
      <c r="C26" s="4">
        <v>43367</v>
      </c>
      <c r="D26" s="4"/>
      <c r="E26" s="4">
        <v>43312</v>
      </c>
      <c r="F26" s="5"/>
      <c r="G26" s="49"/>
      <c r="H26" s="5">
        <v>10.86</v>
      </c>
      <c r="I26" s="102">
        <f>25+25/30*24</f>
        <v>45</v>
      </c>
      <c r="J26" s="5"/>
      <c r="K26" s="5"/>
      <c r="L26" s="6">
        <v>70</v>
      </c>
      <c r="M26" s="61">
        <v>25</v>
      </c>
      <c r="N26" s="6">
        <f t="shared" si="0"/>
        <v>31.499999999999996</v>
      </c>
    </row>
    <row r="27" spans="1:15">
      <c r="A27" s="22" t="s">
        <v>55</v>
      </c>
      <c r="B27" s="22"/>
      <c r="C27" s="4">
        <v>43363</v>
      </c>
      <c r="D27" s="4"/>
      <c r="E27" s="4">
        <v>43440</v>
      </c>
      <c r="F27" s="5"/>
      <c r="G27" s="49"/>
      <c r="H27" s="5">
        <v>14.11</v>
      </c>
      <c r="I27" s="102">
        <f>25*2+25*16/30</f>
        <v>63.333333333333336</v>
      </c>
      <c r="J27" s="5"/>
      <c r="K27" s="5"/>
      <c r="L27" s="6">
        <v>75</v>
      </c>
      <c r="M27" s="61">
        <v>25</v>
      </c>
      <c r="N27" s="6">
        <f t="shared" si="0"/>
        <v>35</v>
      </c>
    </row>
    <row r="28" spans="1:15">
      <c r="A28" s="22" t="s">
        <v>54</v>
      </c>
      <c r="B28" s="22"/>
      <c r="C28" s="4">
        <v>43167</v>
      </c>
      <c r="D28" s="4"/>
      <c r="E28" s="4">
        <v>43455</v>
      </c>
      <c r="F28" s="5"/>
      <c r="G28" s="49"/>
      <c r="H28" s="5">
        <v>10.86</v>
      </c>
      <c r="I28" s="102">
        <f>9*25+25*13/30</f>
        <v>235.83333333333334</v>
      </c>
      <c r="J28" s="5"/>
      <c r="K28" s="5"/>
      <c r="L28" s="6">
        <v>90</v>
      </c>
      <c r="M28" s="61">
        <v>36</v>
      </c>
      <c r="N28" s="6">
        <f t="shared" si="0"/>
        <v>37.799999999999997</v>
      </c>
    </row>
    <row r="29" spans="1:15">
      <c r="A29" s="22" t="s">
        <v>57</v>
      </c>
      <c r="B29" s="55"/>
      <c r="C29" s="31">
        <v>43478</v>
      </c>
      <c r="D29" s="31"/>
      <c r="E29" s="4">
        <v>43536</v>
      </c>
      <c r="F29" s="5"/>
      <c r="G29" s="49"/>
      <c r="H29" s="5">
        <v>10.86</v>
      </c>
      <c r="I29" s="102">
        <v>25</v>
      </c>
      <c r="J29" s="5"/>
      <c r="K29" s="5"/>
      <c r="L29" s="6">
        <v>70</v>
      </c>
      <c r="M29" s="61">
        <v>25</v>
      </c>
      <c r="N29" s="6">
        <f t="shared" si="0"/>
        <v>31.499999999999996</v>
      </c>
    </row>
    <row r="30" spans="1:15">
      <c r="A30" s="22" t="s">
        <v>59</v>
      </c>
      <c r="B30" s="22"/>
      <c r="C30" s="4">
        <v>43528</v>
      </c>
      <c r="D30" s="4"/>
      <c r="E30" s="4">
        <v>43538</v>
      </c>
      <c r="F30" s="5"/>
      <c r="G30" s="49"/>
      <c r="H30" s="5">
        <v>14.92</v>
      </c>
      <c r="I30" s="102">
        <f>77/30*10</f>
        <v>25.666666666666668</v>
      </c>
      <c r="J30" s="5"/>
      <c r="K30" s="5"/>
      <c r="L30" s="6">
        <v>169</v>
      </c>
      <c r="M30" s="61">
        <f>64+11+2</f>
        <v>77</v>
      </c>
      <c r="N30" s="6">
        <f t="shared" si="0"/>
        <v>64.399999999999991</v>
      </c>
    </row>
    <row r="31" spans="1:15">
      <c r="A31" s="22" t="s">
        <v>58</v>
      </c>
      <c r="B31" s="22"/>
      <c r="C31" s="4">
        <v>43534</v>
      </c>
      <c r="D31" s="4"/>
      <c r="E31" s="4">
        <v>43542</v>
      </c>
      <c r="F31" s="5"/>
      <c r="G31" s="49"/>
      <c r="H31" s="5">
        <f>10.86*2</f>
        <v>21.72</v>
      </c>
      <c r="I31" s="102">
        <v>0</v>
      </c>
      <c r="J31" s="5"/>
      <c r="K31" s="5"/>
      <c r="L31" s="6">
        <v>30</v>
      </c>
      <c r="M31" s="61">
        <v>22</v>
      </c>
      <c r="N31" s="6">
        <v>18.899999999999999</v>
      </c>
    </row>
    <row r="32" spans="1:15">
      <c r="A32" s="22" t="s">
        <v>61</v>
      </c>
      <c r="B32" s="22"/>
      <c r="C32" s="4">
        <v>43482</v>
      </c>
      <c r="D32" s="4"/>
      <c r="E32" s="4">
        <v>43542</v>
      </c>
      <c r="F32" s="5"/>
      <c r="G32" s="49"/>
      <c r="H32" s="5">
        <v>11.1</v>
      </c>
      <c r="I32" s="102">
        <f>25*2</f>
        <v>50</v>
      </c>
      <c r="J32" s="5"/>
      <c r="K32" s="5"/>
      <c r="L32" s="6">
        <v>70</v>
      </c>
      <c r="M32" s="61">
        <v>26</v>
      </c>
      <c r="N32" s="6">
        <f t="shared" si="0"/>
        <v>30.799999999999997</v>
      </c>
    </row>
    <row r="33" spans="1:16">
      <c r="A33" s="22" t="s">
        <v>67</v>
      </c>
      <c r="B33" s="22"/>
      <c r="C33" s="4">
        <v>43600</v>
      </c>
      <c r="D33" s="4"/>
      <c r="E33" s="4">
        <v>43629</v>
      </c>
      <c r="F33" s="5"/>
      <c r="G33" s="49"/>
      <c r="H33" s="5">
        <f>10.86*2</f>
        <v>21.72</v>
      </c>
      <c r="I33" s="102">
        <f>22/30*58</f>
        <v>42.533333333333331</v>
      </c>
      <c r="J33" s="5">
        <v>50</v>
      </c>
      <c r="K33" s="5">
        <f>H33+I33+J33</f>
        <v>114.25333333333333</v>
      </c>
      <c r="L33" s="6">
        <v>60</v>
      </c>
      <c r="M33" s="61">
        <v>25</v>
      </c>
      <c r="N33" s="6">
        <v>0</v>
      </c>
    </row>
    <row r="34" spans="1:16">
      <c r="A34" s="22" t="s">
        <v>66</v>
      </c>
      <c r="B34" s="22"/>
      <c r="C34" s="4">
        <v>43600</v>
      </c>
      <c r="D34" s="4"/>
      <c r="E34" s="4">
        <v>43629</v>
      </c>
      <c r="F34" s="5"/>
      <c r="G34" s="49"/>
      <c r="H34" s="5">
        <f>10.86</f>
        <v>10.86</v>
      </c>
      <c r="I34" s="102">
        <f>39/30*58</f>
        <v>75.400000000000006</v>
      </c>
      <c r="J34" s="5"/>
      <c r="K34" s="5">
        <f>H34+I34</f>
        <v>86.26</v>
      </c>
      <c r="L34" s="6">
        <v>110</v>
      </c>
      <c r="M34" s="61">
        <f>25+11+3</f>
        <v>39</v>
      </c>
      <c r="N34" s="6">
        <v>0</v>
      </c>
      <c r="O34" t="s">
        <v>73</v>
      </c>
    </row>
    <row r="35" spans="1:16">
      <c r="A35" s="22" t="s">
        <v>64</v>
      </c>
      <c r="B35" s="22"/>
      <c r="C35" s="4">
        <v>43627</v>
      </c>
      <c r="D35" s="4"/>
      <c r="E35" s="4">
        <v>43629</v>
      </c>
      <c r="F35" s="5"/>
      <c r="G35" s="49"/>
      <c r="H35" s="5">
        <v>10.86</v>
      </c>
      <c r="I35" s="102">
        <f>25/30*2</f>
        <v>1.6666666666666667</v>
      </c>
      <c r="J35" s="5"/>
      <c r="K35" s="5">
        <f>H35+I35</f>
        <v>12.526666666666666</v>
      </c>
      <c r="L35" s="6">
        <v>200</v>
      </c>
      <c r="M35" s="61">
        <v>11</v>
      </c>
      <c r="N35" s="5">
        <f t="shared" ref="N35:N46" si="1">(L35-M35)*0.7</f>
        <v>132.29999999999998</v>
      </c>
    </row>
    <row r="36" spans="1:16">
      <c r="A36" s="22" t="s">
        <v>65</v>
      </c>
      <c r="B36" s="22"/>
      <c r="C36" s="4">
        <v>43622</v>
      </c>
      <c r="D36" s="4"/>
      <c r="E36" s="4">
        <v>43650</v>
      </c>
      <c r="F36" s="5"/>
      <c r="G36" s="49"/>
      <c r="H36" s="5">
        <v>10.86</v>
      </c>
      <c r="I36" s="102"/>
      <c r="J36" s="5"/>
      <c r="K36" s="5"/>
      <c r="L36" s="6">
        <v>120</v>
      </c>
      <c r="M36" s="61">
        <v>60</v>
      </c>
      <c r="N36" s="6">
        <f t="shared" si="1"/>
        <v>42</v>
      </c>
    </row>
    <row r="37" spans="1:16">
      <c r="A37" s="22" t="s">
        <v>71</v>
      </c>
      <c r="B37" s="22"/>
      <c r="C37" s="4">
        <v>43635</v>
      </c>
      <c r="D37" s="4"/>
      <c r="E37" s="4">
        <v>43662</v>
      </c>
      <c r="F37" s="5"/>
      <c r="G37" s="49"/>
      <c r="H37" s="5">
        <f>10.86*2</f>
        <v>21.72</v>
      </c>
      <c r="I37" s="102"/>
      <c r="J37" s="5"/>
      <c r="K37" s="5"/>
      <c r="L37" s="6">
        <v>70</v>
      </c>
      <c r="M37" s="61">
        <v>26</v>
      </c>
      <c r="N37" s="6">
        <f t="shared" si="1"/>
        <v>30.799999999999997</v>
      </c>
      <c r="O37" t="s">
        <v>72</v>
      </c>
    </row>
    <row r="38" spans="1:16">
      <c r="A38" s="2" t="s">
        <v>75</v>
      </c>
      <c r="B38" s="2"/>
      <c r="C38" s="4">
        <v>43656</v>
      </c>
      <c r="D38" s="4"/>
      <c r="E38" s="4">
        <v>43711</v>
      </c>
      <c r="F38" s="5"/>
      <c r="G38" s="49"/>
      <c r="H38" s="5">
        <v>10.86</v>
      </c>
      <c r="I38" s="102">
        <f>36/30*48</f>
        <v>57.599999999999994</v>
      </c>
      <c r="J38" s="5"/>
      <c r="K38" s="5"/>
      <c r="L38" s="6">
        <v>105</v>
      </c>
      <c r="M38" s="61">
        <v>36</v>
      </c>
      <c r="N38" s="6">
        <f t="shared" si="1"/>
        <v>48.3</v>
      </c>
    </row>
    <row r="39" spans="1:16">
      <c r="A39" s="2" t="s">
        <v>76</v>
      </c>
      <c r="B39" s="2"/>
      <c r="C39" s="4">
        <v>43677</v>
      </c>
      <c r="D39" s="4"/>
      <c r="E39" s="4">
        <v>43713</v>
      </c>
      <c r="F39" s="5"/>
      <c r="G39" s="49"/>
      <c r="H39" s="5">
        <v>24.06</v>
      </c>
      <c r="I39" s="102">
        <f>80/30*35</f>
        <v>93.333333333333329</v>
      </c>
      <c r="J39" s="5">
        <v>40</v>
      </c>
      <c r="K39" s="5"/>
      <c r="L39" s="6">
        <v>149</v>
      </c>
      <c r="M39" s="61">
        <v>80</v>
      </c>
      <c r="N39" s="6">
        <f t="shared" si="1"/>
        <v>48.3</v>
      </c>
      <c r="O39" t="s">
        <v>79</v>
      </c>
    </row>
    <row r="40" spans="1:16">
      <c r="A40" s="10" t="s">
        <v>81</v>
      </c>
      <c r="B40" s="10"/>
      <c r="C40" s="11">
        <v>45444</v>
      </c>
      <c r="D40" s="11"/>
      <c r="E40" s="11">
        <v>45408</v>
      </c>
      <c r="F40" s="12"/>
      <c r="G40" s="12"/>
      <c r="H40" s="12"/>
      <c r="I40" s="106">
        <f>43/30*34</f>
        <v>48.733333333333334</v>
      </c>
      <c r="J40" s="12"/>
      <c r="K40" s="12"/>
      <c r="L40" s="12">
        <v>129</v>
      </c>
      <c r="M40" s="107">
        <v>61</v>
      </c>
      <c r="N40" s="12">
        <f t="shared" si="1"/>
        <v>47.599999999999994</v>
      </c>
    </row>
    <row r="41" spans="1:16">
      <c r="A41" s="22" t="s">
        <v>87</v>
      </c>
      <c r="B41" s="22"/>
      <c r="C41" s="35">
        <v>43878</v>
      </c>
      <c r="D41" s="35"/>
      <c r="E41" s="35">
        <v>43892</v>
      </c>
      <c r="F41" s="5"/>
      <c r="G41" s="49"/>
      <c r="H41" s="5">
        <v>12.19</v>
      </c>
      <c r="I41" s="102"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22" t="s">
        <v>89</v>
      </c>
      <c r="B42" s="22"/>
      <c r="C42" s="35">
        <v>43908</v>
      </c>
      <c r="D42" s="35"/>
      <c r="E42" s="35">
        <v>43893</v>
      </c>
      <c r="F42" s="5"/>
      <c r="G42" s="49"/>
      <c r="H42" s="5">
        <v>9.6</v>
      </c>
      <c r="I42" s="102"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6">
      <c r="A43" s="22" t="s">
        <v>85</v>
      </c>
      <c r="B43" s="22"/>
      <c r="C43" s="35">
        <v>43881</v>
      </c>
      <c r="D43" s="35"/>
      <c r="E43" s="35">
        <v>43895</v>
      </c>
      <c r="F43" s="5"/>
      <c r="G43" s="49"/>
      <c r="H43" s="5">
        <v>9.14</v>
      </c>
      <c r="I43" s="102">
        <f>11/30*15</f>
        <v>5.5</v>
      </c>
      <c r="J43" s="5"/>
      <c r="K43" s="5"/>
      <c r="L43" s="6">
        <v>25</v>
      </c>
      <c r="M43" s="61">
        <v>11</v>
      </c>
      <c r="N43" s="6">
        <f t="shared" si="1"/>
        <v>9.7999999999999989</v>
      </c>
    </row>
    <row r="44" spans="1:16">
      <c r="A44" s="39" t="s">
        <v>82</v>
      </c>
      <c r="B44" s="28"/>
      <c r="C44" s="36">
        <v>40235</v>
      </c>
      <c r="D44" s="36"/>
      <c r="E44" s="36">
        <v>43901</v>
      </c>
      <c r="F44" s="5"/>
      <c r="G44" s="34"/>
      <c r="H44" s="37">
        <v>9.6</v>
      </c>
      <c r="I44" s="102">
        <f>11/2</f>
        <v>5.5</v>
      </c>
      <c r="J44" s="5"/>
      <c r="K44" s="5"/>
      <c r="L44" s="17">
        <v>25</v>
      </c>
      <c r="M44" s="63">
        <v>11</v>
      </c>
      <c r="N44" s="26">
        <f t="shared" si="1"/>
        <v>9.7999999999999989</v>
      </c>
    </row>
    <row r="45" spans="1:16">
      <c r="A45" s="22" t="s">
        <v>80</v>
      </c>
      <c r="B45" s="22"/>
      <c r="C45" s="35">
        <v>43873</v>
      </c>
      <c r="D45" s="35"/>
      <c r="E45" s="35">
        <v>43910</v>
      </c>
      <c r="F45" s="5"/>
      <c r="G45" s="49"/>
      <c r="H45" s="5">
        <v>21.84</v>
      </c>
      <c r="I45" s="102">
        <f>56/30*38</f>
        <v>70.933333333333337</v>
      </c>
      <c r="J45" s="5"/>
      <c r="K45" s="5"/>
      <c r="L45" s="6">
        <v>120</v>
      </c>
      <c r="M45" s="61">
        <v>56</v>
      </c>
      <c r="N45" s="6">
        <f t="shared" si="1"/>
        <v>44.8</v>
      </c>
    </row>
    <row r="46" spans="1:16">
      <c r="A46" s="22" t="s">
        <v>88</v>
      </c>
      <c r="B46" s="22"/>
      <c r="C46" s="35">
        <v>43855</v>
      </c>
      <c r="D46" s="35"/>
      <c r="E46" s="35">
        <v>43941</v>
      </c>
      <c r="F46" s="5"/>
      <c r="G46" s="49"/>
      <c r="H46" s="5">
        <v>13.93</v>
      </c>
      <c r="I46" s="102">
        <f>56/30*85</f>
        <v>158.66666666666666</v>
      </c>
      <c r="J46" s="5"/>
      <c r="K46" s="5"/>
      <c r="L46" s="6">
        <v>110</v>
      </c>
      <c r="M46" s="61">
        <v>56</v>
      </c>
      <c r="N46" s="6">
        <f t="shared" si="1"/>
        <v>37.799999999999997</v>
      </c>
    </row>
    <row r="47" spans="1:16">
      <c r="A47" s="22" t="s">
        <v>90</v>
      </c>
      <c r="B47" s="22"/>
      <c r="C47" s="35" t="s">
        <v>96</v>
      </c>
      <c r="D47" s="35"/>
      <c r="E47" s="35">
        <v>44015</v>
      </c>
      <c r="F47" s="5" t="s">
        <v>160</v>
      </c>
      <c r="G47" s="49">
        <v>12.5</v>
      </c>
      <c r="H47" s="5">
        <v>11.29</v>
      </c>
      <c r="I47" s="102">
        <f>100</f>
        <v>100</v>
      </c>
      <c r="J47" s="5"/>
      <c r="K47" s="5"/>
      <c r="L47" s="6">
        <v>105</v>
      </c>
      <c r="M47" s="61">
        <f>25+11+22</f>
        <v>58</v>
      </c>
      <c r="N47" s="6">
        <f>12.5+(92.5-M47)*0.7</f>
        <v>36.65</v>
      </c>
      <c r="P47" s="41"/>
    </row>
    <row r="48" spans="1:16">
      <c r="A48" s="22" t="s">
        <v>97</v>
      </c>
      <c r="B48" s="22"/>
      <c r="C48" s="35">
        <v>43990</v>
      </c>
      <c r="D48" s="35"/>
      <c r="E48" s="35">
        <v>44036</v>
      </c>
      <c r="F48" s="5"/>
      <c r="G48" s="49"/>
      <c r="H48" s="5">
        <v>8.75</v>
      </c>
      <c r="I48" s="102">
        <f>56/30*46</f>
        <v>85.866666666666674</v>
      </c>
      <c r="J48" s="5"/>
      <c r="K48" s="5"/>
      <c r="L48" s="6">
        <v>110</v>
      </c>
      <c r="M48" s="61">
        <f>45+11</f>
        <v>56</v>
      </c>
      <c r="N48" s="6">
        <f>(L48-M48)*0.7</f>
        <v>37.799999999999997</v>
      </c>
    </row>
    <row r="49" spans="1:16">
      <c r="A49" s="22" t="s">
        <v>95</v>
      </c>
      <c r="B49" s="22"/>
      <c r="C49" s="35">
        <v>44028</v>
      </c>
      <c r="D49" s="35"/>
      <c r="E49" s="35">
        <v>44040</v>
      </c>
      <c r="F49" s="5"/>
      <c r="G49" s="49"/>
      <c r="H49" s="5">
        <v>8.75</v>
      </c>
      <c r="I49" s="102">
        <f>41/30*12</f>
        <v>16.399999999999999</v>
      </c>
      <c r="J49" s="5"/>
      <c r="K49" s="5"/>
      <c r="L49" s="6">
        <v>60</v>
      </c>
      <c r="M49" s="61">
        <v>41</v>
      </c>
      <c r="N49" s="6">
        <f>(L49-M49)*0.7</f>
        <v>13.299999999999999</v>
      </c>
    </row>
    <row r="50" spans="1:16">
      <c r="A50" s="22" t="s">
        <v>94</v>
      </c>
      <c r="B50" s="22"/>
      <c r="C50" s="35">
        <v>44011</v>
      </c>
      <c r="D50" s="35"/>
      <c r="E50" s="35">
        <v>44084</v>
      </c>
      <c r="F50" s="5"/>
      <c r="G50" s="49"/>
      <c r="H50" s="5">
        <v>11.29</v>
      </c>
      <c r="I50" s="102">
        <f>25/30*71</f>
        <v>59.166666666666671</v>
      </c>
      <c r="J50" s="5"/>
      <c r="K50" s="5"/>
      <c r="L50" s="6">
        <v>40</v>
      </c>
      <c r="M50" s="61">
        <v>25</v>
      </c>
      <c r="N50" s="6">
        <f>(L50-M50)*0.7</f>
        <v>10.5</v>
      </c>
    </row>
    <row r="51" spans="1:16">
      <c r="A51" s="2" t="s">
        <v>99</v>
      </c>
      <c r="B51" s="2"/>
      <c r="C51" s="35">
        <v>44084</v>
      </c>
      <c r="D51" s="35"/>
      <c r="E51" s="35">
        <v>44105</v>
      </c>
      <c r="F51" s="5" t="s">
        <v>160</v>
      </c>
      <c r="G51" s="49">
        <v>5</v>
      </c>
      <c r="H51" s="5">
        <v>12.24</v>
      </c>
      <c r="I51" s="102">
        <f>25/30*20</f>
        <v>16.666666666666668</v>
      </c>
      <c r="J51" s="5"/>
      <c r="K51" s="5"/>
      <c r="L51" s="43">
        <v>40</v>
      </c>
      <c r="M51" s="61">
        <v>22</v>
      </c>
      <c r="N51" s="6">
        <f>5+13*0.7</f>
        <v>14.1</v>
      </c>
      <c r="P51" s="41"/>
    </row>
    <row r="52" spans="1:16">
      <c r="A52" s="2" t="s">
        <v>102</v>
      </c>
      <c r="B52" s="2"/>
      <c r="C52" s="4" t="s">
        <v>103</v>
      </c>
      <c r="D52" s="4"/>
      <c r="E52" s="4">
        <v>44110</v>
      </c>
      <c r="F52" s="5" t="s">
        <v>160</v>
      </c>
      <c r="G52" s="49">
        <v>10</v>
      </c>
      <c r="H52" s="5">
        <v>36.65</v>
      </c>
      <c r="I52" s="102">
        <f>115/30*26</f>
        <v>99.666666666666671</v>
      </c>
      <c r="J52" s="5"/>
      <c r="K52" s="5"/>
      <c r="L52" s="6">
        <v>180</v>
      </c>
      <c r="M52" s="61">
        <v>115</v>
      </c>
      <c r="N52" s="6">
        <f>10+55*0.7</f>
        <v>48.5</v>
      </c>
      <c r="P52" s="41"/>
    </row>
    <row r="53" spans="1:16">
      <c r="A53" s="2" t="s">
        <v>94</v>
      </c>
      <c r="B53" s="2"/>
      <c r="C53" s="35">
        <v>44124</v>
      </c>
      <c r="D53" s="35"/>
      <c r="E53" s="35">
        <v>44124</v>
      </c>
      <c r="F53" s="5"/>
      <c r="G53" s="49"/>
      <c r="H53" s="5">
        <v>7.25</v>
      </c>
      <c r="I53" s="102">
        <v>0</v>
      </c>
      <c r="J53" s="5"/>
      <c r="K53" s="5"/>
      <c r="L53" s="6">
        <v>25</v>
      </c>
      <c r="M53" s="61">
        <v>11</v>
      </c>
      <c r="N53" s="6">
        <f>(L53-M53)*0.7</f>
        <v>9.7999999999999989</v>
      </c>
    </row>
    <row r="54" spans="1:16">
      <c r="A54" s="2" t="s">
        <v>100</v>
      </c>
      <c r="B54" s="2"/>
      <c r="C54" s="4">
        <v>44018</v>
      </c>
      <c r="D54" s="4"/>
      <c r="E54" s="4">
        <v>44124</v>
      </c>
      <c r="F54" s="40"/>
      <c r="G54" s="2"/>
      <c r="H54" s="5">
        <v>9.5</v>
      </c>
      <c r="I54" s="102">
        <f>25/30*104</f>
        <v>86.666666666666671</v>
      </c>
      <c r="J54" s="5"/>
      <c r="K54" s="5"/>
      <c r="L54" s="6">
        <v>70</v>
      </c>
      <c r="M54" s="61">
        <v>25</v>
      </c>
      <c r="N54" s="6">
        <f>(L54-M54)*0.7</f>
        <v>31.499999999999996</v>
      </c>
    </row>
    <row r="55" spans="1:16">
      <c r="A55" s="2" t="s">
        <v>101</v>
      </c>
      <c r="B55" s="2"/>
      <c r="C55" s="4">
        <v>44070</v>
      </c>
      <c r="D55" s="4"/>
      <c r="E55" s="4">
        <v>44131</v>
      </c>
      <c r="F55" s="40"/>
      <c r="G55" s="2"/>
      <c r="H55" s="5">
        <v>13.93</v>
      </c>
      <c r="I55" s="102">
        <f>71/30*60</f>
        <v>142</v>
      </c>
      <c r="J55" s="5"/>
      <c r="K55" s="5"/>
      <c r="L55" s="6">
        <v>120</v>
      </c>
      <c r="M55" s="61">
        <f>60+11</f>
        <v>71</v>
      </c>
      <c r="N55" s="6">
        <f>(L55-M55)*0.7</f>
        <v>34.299999999999997</v>
      </c>
    </row>
    <row r="56" spans="1:16">
      <c r="A56" s="22" t="s">
        <v>104</v>
      </c>
      <c r="B56" s="22"/>
      <c r="C56" s="4">
        <v>44159</v>
      </c>
      <c r="D56" s="4"/>
      <c r="E56" s="4">
        <v>44187</v>
      </c>
      <c r="F56" s="40"/>
      <c r="G56" s="2"/>
      <c r="H56" s="5">
        <v>13.93</v>
      </c>
      <c r="I56" s="102">
        <f>36/30*28</f>
        <v>33.6</v>
      </c>
      <c r="J56" s="5"/>
      <c r="K56" s="5"/>
      <c r="L56" s="6">
        <v>110</v>
      </c>
      <c r="M56" s="61">
        <f>25+11</f>
        <v>36</v>
      </c>
      <c r="N56" s="6">
        <f>(L56-M56)*0.7</f>
        <v>51.8</v>
      </c>
    </row>
    <row r="57" spans="1:16">
      <c r="A57" s="22" t="s">
        <v>120</v>
      </c>
      <c r="B57" s="22"/>
      <c r="C57" s="4">
        <v>44169</v>
      </c>
      <c r="D57" s="4"/>
      <c r="E57" s="4">
        <v>44208</v>
      </c>
      <c r="F57" s="5" t="s">
        <v>160</v>
      </c>
      <c r="G57" s="49">
        <v>10</v>
      </c>
      <c r="H57" s="5"/>
      <c r="I57" s="102">
        <f>41/30*38</f>
        <v>51.933333333333337</v>
      </c>
      <c r="J57" s="5"/>
      <c r="K57" s="5"/>
      <c r="L57" s="6">
        <v>70</v>
      </c>
      <c r="M57" s="61">
        <v>45</v>
      </c>
      <c r="N57" s="5">
        <f>10+(60-45)*0.7</f>
        <v>20.5</v>
      </c>
      <c r="O57" s="1" t="s">
        <v>145</v>
      </c>
    </row>
    <row r="58" spans="1:16">
      <c r="A58" s="22" t="s">
        <v>108</v>
      </c>
      <c r="B58" s="22"/>
      <c r="C58" s="4">
        <v>44185</v>
      </c>
      <c r="D58" s="4"/>
      <c r="E58" s="4">
        <v>44242</v>
      </c>
      <c r="F58" s="5" t="s">
        <v>160</v>
      </c>
      <c r="G58" s="49">
        <v>20</v>
      </c>
      <c r="H58" s="5">
        <v>26.48</v>
      </c>
      <c r="I58" s="102">
        <f>50/30*55</f>
        <v>91.666666666666671</v>
      </c>
      <c r="J58" s="5">
        <v>160</v>
      </c>
      <c r="K58" s="5"/>
      <c r="L58" s="6">
        <v>130</v>
      </c>
      <c r="M58" s="61">
        <v>34</v>
      </c>
      <c r="N58" s="5">
        <f>(20+(110-34)*0.7)</f>
        <v>73.199999999999989</v>
      </c>
      <c r="O58" s="1" t="s">
        <v>145</v>
      </c>
    </row>
    <row r="59" spans="1:16">
      <c r="A59" s="22" t="s">
        <v>109</v>
      </c>
      <c r="B59" s="22"/>
      <c r="C59" s="4">
        <v>44209</v>
      </c>
      <c r="D59" s="4"/>
      <c r="E59" s="4">
        <v>44250</v>
      </c>
      <c r="F59" s="5" t="s">
        <v>160</v>
      </c>
      <c r="G59" s="49">
        <v>22.5</v>
      </c>
      <c r="H59" s="5">
        <v>22.83</v>
      </c>
      <c r="I59" s="102">
        <f>100/30*40</f>
        <v>133.33333333333334</v>
      </c>
      <c r="J59" s="5">
        <v>125</v>
      </c>
      <c r="K59" s="5"/>
      <c r="L59" s="6">
        <v>210</v>
      </c>
      <c r="M59" s="61">
        <v>100</v>
      </c>
      <c r="N59" s="6">
        <f>(22.5+87.5*0.7)</f>
        <v>83.75</v>
      </c>
    </row>
    <row r="60" spans="1:16">
      <c r="A60" s="2" t="s">
        <v>113</v>
      </c>
      <c r="B60" s="2"/>
      <c r="C60" s="4">
        <v>44245</v>
      </c>
      <c r="D60" s="4"/>
      <c r="E60" s="4">
        <v>44271</v>
      </c>
      <c r="F60" s="5" t="s">
        <v>160</v>
      </c>
      <c r="G60" s="49">
        <v>15</v>
      </c>
      <c r="H60" s="5">
        <v>26.76</v>
      </c>
      <c r="I60" s="102">
        <f>67/30*28</f>
        <v>62.533333333333331</v>
      </c>
      <c r="J60" s="5"/>
      <c r="K60" s="5"/>
      <c r="L60" s="6">
        <v>140</v>
      </c>
      <c r="M60" s="61">
        <v>67</v>
      </c>
      <c r="N60" s="6">
        <f>(15+0.7*58)</f>
        <v>55.599999999999994</v>
      </c>
    </row>
    <row r="61" spans="1:16">
      <c r="A61" s="2" t="s">
        <v>112</v>
      </c>
      <c r="B61" s="2"/>
      <c r="C61" s="4">
        <v>44270</v>
      </c>
      <c r="D61" s="4"/>
      <c r="E61" s="4">
        <v>44286</v>
      </c>
      <c r="F61" s="5" t="s">
        <v>160</v>
      </c>
      <c r="G61" s="49">
        <v>17.5</v>
      </c>
      <c r="H61" s="5">
        <v>31.96</v>
      </c>
      <c r="I61" s="102">
        <f>55/30*16</f>
        <v>29.333333333333332</v>
      </c>
      <c r="J61" s="5">
        <v>75</v>
      </c>
      <c r="K61" s="5"/>
      <c r="L61" s="6">
        <v>100</v>
      </c>
      <c r="M61" s="61">
        <v>55</v>
      </c>
      <c r="N61" s="6">
        <f>(17.5+27.5*0.7)</f>
        <v>36.75</v>
      </c>
    </row>
    <row r="62" spans="1:16">
      <c r="A62" s="22" t="s">
        <v>121</v>
      </c>
      <c r="B62" s="22"/>
      <c r="C62" s="4">
        <v>44316</v>
      </c>
      <c r="D62" s="4"/>
      <c r="E62" s="4">
        <v>44354</v>
      </c>
      <c r="F62" s="40"/>
      <c r="G62" s="2"/>
      <c r="H62" s="5">
        <v>15.15</v>
      </c>
      <c r="I62" s="102">
        <f>36/30*37</f>
        <v>44.4</v>
      </c>
      <c r="J62" s="5"/>
      <c r="K62" s="5"/>
      <c r="L62" s="6">
        <v>110</v>
      </c>
      <c r="M62" s="61">
        <v>36</v>
      </c>
      <c r="N62" s="5">
        <f>(L62-M62)*0.7</f>
        <v>51.8</v>
      </c>
      <c r="O62" s="1" t="s">
        <v>145</v>
      </c>
    </row>
    <row r="63" spans="1:16">
      <c r="A63" s="22" t="s">
        <v>126</v>
      </c>
      <c r="B63" s="22"/>
      <c r="C63" s="4">
        <v>44336</v>
      </c>
      <c r="D63" s="4"/>
      <c r="E63" s="4">
        <v>44370</v>
      </c>
      <c r="F63" s="5" t="s">
        <v>161</v>
      </c>
      <c r="G63" s="49">
        <v>17.5</v>
      </c>
      <c r="H63" s="5">
        <v>35.78</v>
      </c>
      <c r="I63" s="102">
        <f>58/30*33</f>
        <v>63.8</v>
      </c>
      <c r="J63" s="5">
        <v>50</v>
      </c>
      <c r="K63" s="5"/>
      <c r="L63" s="6">
        <v>150</v>
      </c>
      <c r="M63" s="61">
        <v>58</v>
      </c>
      <c r="N63" s="6">
        <f>(17.5+74.5*0.7)</f>
        <v>69.650000000000006</v>
      </c>
    </row>
    <row r="64" spans="1:16">
      <c r="A64" s="44" t="s">
        <v>125</v>
      </c>
      <c r="B64" s="44"/>
      <c r="C64" s="4">
        <v>44342</v>
      </c>
      <c r="D64" s="4"/>
      <c r="E64" s="4">
        <v>44386</v>
      </c>
      <c r="F64" s="5" t="s">
        <v>160</v>
      </c>
      <c r="G64" s="49">
        <v>12.5</v>
      </c>
      <c r="H64" s="5">
        <v>15.46</v>
      </c>
      <c r="I64" s="102">
        <f>36/30*43</f>
        <v>51.6</v>
      </c>
      <c r="J64" s="5">
        <f>50+45</f>
        <v>95</v>
      </c>
      <c r="K64" s="5"/>
      <c r="L64" s="6">
        <v>80</v>
      </c>
      <c r="M64" s="61">
        <v>33</v>
      </c>
      <c r="N64" s="6">
        <f>12.5+(L64-M64-12.5)*0.7</f>
        <v>36.65</v>
      </c>
    </row>
    <row r="65" spans="1:16">
      <c r="A65" s="44" t="s">
        <v>129</v>
      </c>
      <c r="B65" s="44"/>
      <c r="C65" s="4">
        <v>44348</v>
      </c>
      <c r="D65" s="4"/>
      <c r="E65" s="4">
        <v>44389</v>
      </c>
      <c r="F65" s="5" t="s">
        <v>160</v>
      </c>
      <c r="G65" s="49">
        <v>12.5</v>
      </c>
      <c r="H65" s="5">
        <v>26.22</v>
      </c>
      <c r="I65" s="102">
        <f>71/30*42</f>
        <v>99.4</v>
      </c>
      <c r="J65" s="5">
        <f>50+45</f>
        <v>95</v>
      </c>
      <c r="K65" s="5"/>
      <c r="L65" s="6">
        <v>140</v>
      </c>
      <c r="M65" s="61">
        <v>71</v>
      </c>
      <c r="N65" s="6">
        <f>(12.5+(127.5-71)*0.7)</f>
        <v>52.05</v>
      </c>
    </row>
    <row r="66" spans="1:16">
      <c r="A66" s="44" t="s">
        <v>132</v>
      </c>
      <c r="B66" s="44"/>
      <c r="C66" s="4">
        <v>44407</v>
      </c>
      <c r="D66" s="4"/>
      <c r="E66" s="4">
        <v>44461</v>
      </c>
      <c r="F66" s="40"/>
      <c r="G66" s="2"/>
      <c r="H66" s="5">
        <v>9.8800000000000008</v>
      </c>
      <c r="I66" s="102">
        <f>25/30*52</f>
        <v>43.333333333333336</v>
      </c>
      <c r="J66" s="5"/>
      <c r="K66" s="5"/>
      <c r="L66" s="6">
        <v>40</v>
      </c>
      <c r="M66" s="61">
        <v>25</v>
      </c>
      <c r="N66" s="6">
        <f>(L66-M66)*0.7</f>
        <v>10.5</v>
      </c>
    </row>
    <row r="67" spans="1:16">
      <c r="A67" s="52" t="s">
        <v>141</v>
      </c>
      <c r="B67" s="52"/>
      <c r="C67" s="57">
        <v>44459</v>
      </c>
      <c r="D67" s="57"/>
      <c r="E67" s="57">
        <v>44481</v>
      </c>
      <c r="F67" s="10" t="s">
        <v>161</v>
      </c>
      <c r="G67" s="12">
        <v>10</v>
      </c>
      <c r="H67" s="25">
        <v>15.15</v>
      </c>
      <c r="I67" s="103">
        <f>46/30*22</f>
        <v>33.733333333333334</v>
      </c>
      <c r="J67" s="25">
        <v>80</v>
      </c>
      <c r="K67" s="25"/>
      <c r="L67" s="27">
        <v>120</v>
      </c>
      <c r="M67" s="64">
        <v>46</v>
      </c>
      <c r="N67" s="27">
        <f>10+(120-56)*0.7</f>
        <v>54.8</v>
      </c>
    </row>
    <row r="68" spans="1:16">
      <c r="A68" s="52" t="s">
        <v>140</v>
      </c>
      <c r="B68" s="52"/>
      <c r="C68" s="57">
        <v>44449</v>
      </c>
      <c r="D68" s="57"/>
      <c r="E68" s="57">
        <v>44482</v>
      </c>
      <c r="F68" s="25" t="s">
        <v>160</v>
      </c>
      <c r="G68" s="58">
        <v>10</v>
      </c>
      <c r="H68" s="25">
        <v>13.4</v>
      </c>
      <c r="I68" s="103">
        <f>60/30*33</f>
        <v>66</v>
      </c>
      <c r="J68" s="25">
        <v>80</v>
      </c>
      <c r="K68" s="25"/>
      <c r="L68" s="27">
        <v>120</v>
      </c>
      <c r="M68" s="64">
        <v>61</v>
      </c>
      <c r="N68" s="27">
        <f>(10+49*0.7)</f>
        <v>44.3</v>
      </c>
    </row>
    <row r="69" spans="1:16">
      <c r="A69" s="44" t="s">
        <v>137</v>
      </c>
      <c r="B69" s="44"/>
      <c r="C69" s="35">
        <v>44474</v>
      </c>
      <c r="D69" s="35"/>
      <c r="E69" s="35">
        <v>44487</v>
      </c>
      <c r="F69" s="10" t="s">
        <v>161</v>
      </c>
      <c r="G69" s="12">
        <v>12.5</v>
      </c>
      <c r="H69" s="5">
        <v>15.15</v>
      </c>
      <c r="I69" s="102">
        <f>71/30*13</f>
        <v>30.766666666666666</v>
      </c>
      <c r="J69" s="5">
        <v>95</v>
      </c>
      <c r="K69" s="5"/>
      <c r="L69" s="6">
        <v>140</v>
      </c>
      <c r="M69" s="61">
        <v>71</v>
      </c>
      <c r="N69" s="6">
        <f>12.5+(56.5)*0.7</f>
        <v>52.05</v>
      </c>
    </row>
    <row r="70" spans="1:16">
      <c r="A70" s="44" t="s">
        <v>143</v>
      </c>
      <c r="B70" s="44"/>
      <c r="C70" s="35">
        <v>43717</v>
      </c>
      <c r="D70" s="35"/>
      <c r="E70" s="35">
        <v>44505</v>
      </c>
      <c r="F70" s="40"/>
      <c r="G70" s="49"/>
      <c r="H70" s="5">
        <v>13.4</v>
      </c>
      <c r="I70" s="102">
        <f>36*25+36/30*26</f>
        <v>931.2</v>
      </c>
      <c r="J70" s="5"/>
      <c r="K70" s="5"/>
      <c r="L70" s="6">
        <v>100</v>
      </c>
      <c r="M70" s="61">
        <v>36</v>
      </c>
      <c r="N70" s="6">
        <f>(100-36)*0.7</f>
        <v>44.8</v>
      </c>
    </row>
    <row r="71" spans="1:16">
      <c r="A71" s="44" t="s">
        <v>139</v>
      </c>
      <c r="B71" s="44"/>
      <c r="C71" s="35">
        <v>44492</v>
      </c>
      <c r="D71" s="35"/>
      <c r="E71" s="35">
        <v>44539</v>
      </c>
      <c r="F71" s="40"/>
      <c r="G71" s="49"/>
      <c r="H71" s="5">
        <v>16.350000000000001</v>
      </c>
      <c r="I71" s="102">
        <f>71/30*46</f>
        <v>108.86666666666667</v>
      </c>
      <c r="J71" s="5">
        <v>95</v>
      </c>
      <c r="K71" s="5"/>
      <c r="L71" s="6">
        <v>140</v>
      </c>
      <c r="M71" s="61">
        <v>71</v>
      </c>
      <c r="N71" s="12">
        <f>(140-71)*0.7</f>
        <v>48.3</v>
      </c>
      <c r="O71" s="72" t="s">
        <v>329</v>
      </c>
      <c r="P71" s="72">
        <v>33.81</v>
      </c>
    </row>
    <row r="72" spans="1:16">
      <c r="A72" s="44" t="s">
        <v>144</v>
      </c>
      <c r="B72" s="44"/>
      <c r="C72" s="35">
        <v>44526</v>
      </c>
      <c r="D72" s="35"/>
      <c r="E72" s="35">
        <v>44550</v>
      </c>
      <c r="F72" s="5" t="s">
        <v>160</v>
      </c>
      <c r="G72" s="49">
        <v>12.5</v>
      </c>
      <c r="H72" s="5">
        <v>13.4</v>
      </c>
      <c r="I72" s="102">
        <f>83/30*24</f>
        <v>66.400000000000006</v>
      </c>
      <c r="J72" s="5"/>
      <c r="K72" s="5"/>
      <c r="L72" s="6">
        <v>140</v>
      </c>
      <c r="M72" s="61">
        <v>94</v>
      </c>
      <c r="N72" s="6">
        <f>12.5+(140-12.5-94)*0.7</f>
        <v>35.950000000000003</v>
      </c>
    </row>
    <row r="73" spans="1:16">
      <c r="A73" s="44" t="s">
        <v>149</v>
      </c>
      <c r="B73" s="44"/>
      <c r="C73" s="35">
        <v>44880</v>
      </c>
      <c r="D73" s="35"/>
      <c r="E73" s="35">
        <v>44575</v>
      </c>
      <c r="F73" s="40"/>
      <c r="G73" s="49"/>
      <c r="H73" s="5">
        <v>13.4</v>
      </c>
      <c r="I73" s="102"/>
      <c r="J73" s="5">
        <v>50</v>
      </c>
      <c r="K73" s="5"/>
      <c r="L73" s="6">
        <v>160</v>
      </c>
      <c r="M73" s="61">
        <f>71+9</f>
        <v>80</v>
      </c>
      <c r="N73" s="6">
        <f>(160-80)*0.7</f>
        <v>56</v>
      </c>
    </row>
    <row r="74" spans="1:16">
      <c r="A74" s="44" t="s">
        <v>146</v>
      </c>
      <c r="B74" s="44"/>
      <c r="C74" s="4">
        <v>44586</v>
      </c>
      <c r="D74" s="4"/>
      <c r="E74" s="4">
        <v>44615</v>
      </c>
      <c r="F74" s="10" t="s">
        <v>161</v>
      </c>
      <c r="G74" s="12">
        <v>12.5</v>
      </c>
      <c r="H74" s="5">
        <v>15.46</v>
      </c>
      <c r="I74" s="102">
        <f>27/30*28</f>
        <v>25.2</v>
      </c>
      <c r="J74" s="5">
        <v>110</v>
      </c>
      <c r="K74" s="5"/>
      <c r="L74" s="6">
        <v>154</v>
      </c>
      <c r="M74" s="61">
        <v>72</v>
      </c>
      <c r="N74" s="6">
        <f>12.5+(154-12.5-62)*0.7</f>
        <v>68.150000000000006</v>
      </c>
    </row>
    <row r="75" spans="1:16">
      <c r="A75" s="44" t="s">
        <v>148</v>
      </c>
      <c r="B75" s="44"/>
      <c r="C75" s="4">
        <v>44579</v>
      </c>
      <c r="D75" s="4"/>
      <c r="E75" s="4">
        <v>44594</v>
      </c>
      <c r="F75" s="40"/>
      <c r="G75" s="49"/>
      <c r="H75" s="5">
        <v>13.4</v>
      </c>
      <c r="I75" s="102">
        <f>22/30*14</f>
        <v>10.266666666666666</v>
      </c>
      <c r="J75" s="5">
        <v>30</v>
      </c>
      <c r="K75" s="5"/>
      <c r="L75" s="6">
        <v>50</v>
      </c>
      <c r="M75" s="61">
        <v>22</v>
      </c>
      <c r="N75" s="6">
        <f>(50-22)*0.7</f>
        <v>19.599999999999998</v>
      </c>
    </row>
    <row r="76" spans="1:16">
      <c r="A76" s="44" t="s">
        <v>150</v>
      </c>
      <c r="B76" s="44"/>
      <c r="C76" s="4">
        <v>44899</v>
      </c>
      <c r="D76" s="4"/>
      <c r="E76" s="4">
        <v>44607</v>
      </c>
      <c r="F76" s="12" t="s">
        <v>160</v>
      </c>
      <c r="G76" s="12">
        <v>12.5</v>
      </c>
      <c r="H76" s="5">
        <v>13.4</v>
      </c>
      <c r="I76" s="102">
        <f>71/30*61</f>
        <v>144.36666666666667</v>
      </c>
      <c r="J76" s="5">
        <v>80</v>
      </c>
      <c r="K76" s="5"/>
      <c r="L76" s="6">
        <v>120</v>
      </c>
      <c r="M76" s="61">
        <v>60</v>
      </c>
      <c r="N76" s="6">
        <f>12.5+(120-72.5)*0.7</f>
        <v>45.75</v>
      </c>
    </row>
    <row r="77" spans="1:16">
      <c r="A77" s="44" t="s">
        <v>151</v>
      </c>
      <c r="B77" s="44"/>
      <c r="C77" s="4">
        <v>44926</v>
      </c>
      <c r="D77" s="4"/>
      <c r="E77" s="4">
        <v>44649</v>
      </c>
      <c r="F77" s="40"/>
      <c r="G77" s="40"/>
      <c r="H77" s="5">
        <v>9.0299999999999994</v>
      </c>
      <c r="I77" s="102">
        <f>25*2+25/30*29</f>
        <v>74.166666666666671</v>
      </c>
      <c r="J77" s="5">
        <v>80</v>
      </c>
      <c r="K77" s="5"/>
      <c r="L77" s="6">
        <v>67.5</v>
      </c>
      <c r="M77" s="61">
        <v>25</v>
      </c>
      <c r="N77" s="6">
        <f>(67.5-25)*0.7</f>
        <v>29.749999999999996</v>
      </c>
    </row>
    <row r="78" spans="1:16">
      <c r="A78" s="44" t="s">
        <v>153</v>
      </c>
      <c r="B78" s="44"/>
      <c r="C78" s="4">
        <v>44623</v>
      </c>
      <c r="D78" s="4"/>
      <c r="E78" s="4">
        <v>44623</v>
      </c>
      <c r="F78" s="40"/>
      <c r="G78" s="40"/>
      <c r="H78" s="5">
        <v>11.03</v>
      </c>
      <c r="I78" s="102">
        <v>0</v>
      </c>
      <c r="J78" s="5">
        <v>15</v>
      </c>
      <c r="K78" s="5"/>
      <c r="L78" s="6">
        <v>30</v>
      </c>
      <c r="M78" s="61">
        <v>12</v>
      </c>
      <c r="N78" s="6">
        <f>(L78-M78)*0.7</f>
        <v>12.6</v>
      </c>
    </row>
    <row r="79" spans="1:16">
      <c r="A79" s="44" t="s">
        <v>154</v>
      </c>
      <c r="B79" s="44"/>
      <c r="C79" s="4">
        <v>44881</v>
      </c>
      <c r="D79" s="4"/>
      <c r="E79" s="4">
        <v>44628</v>
      </c>
      <c r="F79" s="40"/>
      <c r="G79" s="40"/>
      <c r="H79" s="5">
        <v>9.0299999999999994</v>
      </c>
      <c r="I79" s="102">
        <f>65*3+65/30*22</f>
        <v>242.66666666666666</v>
      </c>
      <c r="J79" s="5">
        <v>95</v>
      </c>
      <c r="K79" s="5"/>
      <c r="L79" s="6">
        <v>112</v>
      </c>
      <c r="M79" s="61">
        <v>65</v>
      </c>
      <c r="N79" s="6">
        <f>(L79-M79)*0.7</f>
        <v>32.9</v>
      </c>
    </row>
    <row r="80" spans="1:16">
      <c r="A80" s="44" t="s">
        <v>155</v>
      </c>
      <c r="B80" s="44"/>
      <c r="C80" s="4">
        <v>44490</v>
      </c>
      <c r="D80" s="4"/>
      <c r="E80" s="4">
        <v>44648</v>
      </c>
      <c r="F80" s="40"/>
      <c r="G80" s="40"/>
      <c r="H80" s="5">
        <v>13.4</v>
      </c>
      <c r="I80" s="102">
        <f>45*5+45/30*7</f>
        <v>235.5</v>
      </c>
      <c r="J80" s="5">
        <v>80</v>
      </c>
      <c r="K80" s="5"/>
      <c r="L80" s="6">
        <v>67.5</v>
      </c>
      <c r="M80" s="61">
        <v>45</v>
      </c>
      <c r="N80" s="6">
        <f>(L80-M80)*0.7</f>
        <v>15.749999999999998</v>
      </c>
    </row>
    <row r="81" spans="1:14">
      <c r="A81" s="44" t="s">
        <v>156</v>
      </c>
      <c r="B81" s="44"/>
      <c r="C81" s="4">
        <v>44489</v>
      </c>
      <c r="D81" s="4"/>
      <c r="E81" s="4">
        <v>44651</v>
      </c>
      <c r="F81" s="40"/>
      <c r="G81" s="40"/>
      <c r="H81" s="5">
        <v>15.46</v>
      </c>
      <c r="I81" s="102">
        <f>50*5+50/10</f>
        <v>255</v>
      </c>
      <c r="J81" s="5">
        <v>145</v>
      </c>
      <c r="K81" s="5"/>
      <c r="L81" s="6">
        <v>125</v>
      </c>
      <c r="M81" s="61">
        <v>50</v>
      </c>
      <c r="N81" s="6">
        <f>(L81-M81)*0.7</f>
        <v>52.5</v>
      </c>
    </row>
    <row r="82" spans="1:14">
      <c r="A82" s="44" t="s">
        <v>157</v>
      </c>
      <c r="B82" s="44"/>
      <c r="C82" s="4">
        <v>44627</v>
      </c>
      <c r="D82" s="4"/>
      <c r="E82" s="4">
        <v>44627</v>
      </c>
      <c r="F82" s="10" t="s">
        <v>161</v>
      </c>
      <c r="G82" s="12">
        <v>10</v>
      </c>
      <c r="H82" s="5">
        <v>15.46</v>
      </c>
      <c r="I82" s="102">
        <v>0</v>
      </c>
      <c r="J82" s="5">
        <v>0</v>
      </c>
      <c r="K82" s="5"/>
      <c r="L82" s="6">
        <v>100</v>
      </c>
      <c r="M82" s="61">
        <v>44</v>
      </c>
      <c r="N82" s="6">
        <f>10+(46)*0.7</f>
        <v>42.199999999999996</v>
      </c>
    </row>
    <row r="83" spans="1:14">
      <c r="A83" s="44" t="s">
        <v>158</v>
      </c>
      <c r="B83" s="44"/>
      <c r="C83" s="4">
        <v>44627</v>
      </c>
      <c r="D83" s="4"/>
      <c r="E83" s="4">
        <v>44627</v>
      </c>
      <c r="F83" s="10" t="s">
        <v>161</v>
      </c>
      <c r="G83" s="12">
        <v>12.5</v>
      </c>
      <c r="H83" s="5">
        <v>15.46</v>
      </c>
      <c r="I83" s="102">
        <v>0</v>
      </c>
      <c r="J83" s="5">
        <v>0</v>
      </c>
      <c r="K83" s="5"/>
      <c r="L83" s="6">
        <v>125</v>
      </c>
      <c r="M83" s="61">
        <v>55</v>
      </c>
      <c r="N83" s="6">
        <f>12.5+(57.5)*0.7</f>
        <v>52.75</v>
      </c>
    </row>
    <row r="84" spans="1:14">
      <c r="A84" s="44" t="s">
        <v>171</v>
      </c>
      <c r="B84" s="44"/>
      <c r="C84" s="4">
        <v>44648</v>
      </c>
      <c r="D84" s="4"/>
      <c r="E84" s="4">
        <v>44734</v>
      </c>
      <c r="F84" s="40"/>
      <c r="G84" s="5"/>
      <c r="H84" s="5">
        <v>13.72</v>
      </c>
      <c r="I84" s="102">
        <f>56/30*84</f>
        <v>156.80000000000001</v>
      </c>
      <c r="J84" s="5">
        <v>95</v>
      </c>
      <c r="K84" s="5"/>
      <c r="L84" s="6">
        <v>140</v>
      </c>
      <c r="M84" s="61">
        <v>56</v>
      </c>
      <c r="N84" s="6">
        <f>(140-56)*0.7</f>
        <v>58.8</v>
      </c>
    </row>
    <row r="85" spans="1:14">
      <c r="A85" s="44" t="s">
        <v>172</v>
      </c>
      <c r="B85" s="44"/>
      <c r="C85" s="4">
        <v>44705</v>
      </c>
      <c r="D85" s="4"/>
      <c r="E85" s="4">
        <v>44715</v>
      </c>
      <c r="F85" s="40"/>
      <c r="G85" s="5"/>
      <c r="H85" s="5">
        <v>10.039999999999999</v>
      </c>
      <c r="I85" s="102">
        <f>25/30*9</f>
        <v>7.5</v>
      </c>
      <c r="J85" s="5"/>
      <c r="K85" s="5"/>
      <c r="L85" s="6">
        <v>50</v>
      </c>
      <c r="M85" s="61">
        <v>25</v>
      </c>
      <c r="N85" s="6">
        <f>(50-25)*0.7</f>
        <v>17.5</v>
      </c>
    </row>
    <row r="86" spans="1:14">
      <c r="A86" s="44" t="s">
        <v>173</v>
      </c>
      <c r="B86" s="44"/>
      <c r="C86" s="4">
        <v>44704</v>
      </c>
      <c r="D86" s="4"/>
      <c r="E86" s="4">
        <v>44721</v>
      </c>
      <c r="F86" s="10" t="s">
        <v>161</v>
      </c>
      <c r="G86" s="56">
        <v>12.5</v>
      </c>
      <c r="H86" s="5">
        <v>13.72</v>
      </c>
      <c r="I86" s="102">
        <f>37/30*16</f>
        <v>19.733333333333334</v>
      </c>
      <c r="J86" s="5">
        <f>50+45</f>
        <v>95</v>
      </c>
      <c r="K86" s="5"/>
      <c r="L86" s="6">
        <v>110</v>
      </c>
      <c r="M86" s="61">
        <v>37</v>
      </c>
      <c r="N86" s="56">
        <f>12.5+(97.5-37)*0.7</f>
        <v>54.849999999999994</v>
      </c>
    </row>
    <row r="87" spans="1:14">
      <c r="A87" s="44" t="s">
        <v>174</v>
      </c>
      <c r="B87" s="44"/>
      <c r="C87" s="4">
        <v>44715</v>
      </c>
      <c r="D87" s="4"/>
      <c r="E87" s="4">
        <v>44820</v>
      </c>
      <c r="F87" s="10" t="s">
        <v>161</v>
      </c>
      <c r="G87" s="56">
        <v>15</v>
      </c>
      <c r="H87" s="5">
        <v>14.6</v>
      </c>
      <c r="I87" s="102">
        <f>56/30*103</f>
        <v>192.26666666666668</v>
      </c>
      <c r="J87" s="5">
        <v>50</v>
      </c>
      <c r="K87" s="5"/>
      <c r="L87" s="6">
        <f>130</f>
        <v>130</v>
      </c>
      <c r="M87" s="61">
        <v>56</v>
      </c>
      <c r="N87" s="56">
        <f>15+(115-56)*0.7</f>
        <v>56.3</v>
      </c>
    </row>
    <row r="88" spans="1:14">
      <c r="A88" s="44" t="s">
        <v>183</v>
      </c>
      <c r="B88" s="44"/>
      <c r="C88" s="4">
        <v>44749</v>
      </c>
      <c r="D88" s="4">
        <v>44830</v>
      </c>
      <c r="E88" s="4">
        <v>44858</v>
      </c>
      <c r="F88" s="40"/>
      <c r="G88" s="5"/>
      <c r="H88" s="5">
        <v>11.03</v>
      </c>
      <c r="I88" s="102">
        <v>25</v>
      </c>
      <c r="J88" s="5">
        <v>15</v>
      </c>
      <c r="K88" s="5"/>
      <c r="L88" s="6">
        <v>80</v>
      </c>
      <c r="M88" s="61">
        <v>25</v>
      </c>
      <c r="N88" s="6">
        <f>55*0.7</f>
        <v>38.5</v>
      </c>
    </row>
    <row r="89" spans="1:14">
      <c r="A89" s="44" t="s">
        <v>184</v>
      </c>
      <c r="B89" s="44"/>
      <c r="C89" s="4">
        <v>44775</v>
      </c>
      <c r="D89" s="4">
        <v>44810</v>
      </c>
      <c r="E89" s="4">
        <v>44848</v>
      </c>
      <c r="F89" s="40"/>
      <c r="G89" s="5"/>
      <c r="H89" s="5">
        <v>23.38</v>
      </c>
      <c r="I89" s="102">
        <f>100/30*38</f>
        <v>126.66666666666667</v>
      </c>
      <c r="J89" s="5">
        <v>155</v>
      </c>
      <c r="K89" s="5"/>
      <c r="L89" s="6">
        <v>220</v>
      </c>
      <c r="M89" s="61">
        <v>100</v>
      </c>
      <c r="N89" s="6">
        <v>90.75</v>
      </c>
    </row>
    <row r="90" spans="1:14">
      <c r="A90" s="44" t="s">
        <v>185</v>
      </c>
      <c r="B90" s="44"/>
      <c r="C90" s="4">
        <v>44830</v>
      </c>
      <c r="D90" s="4">
        <v>44852</v>
      </c>
      <c r="E90" s="4">
        <v>44858</v>
      </c>
      <c r="F90" s="10" t="s">
        <v>161</v>
      </c>
      <c r="G90" s="12">
        <v>15</v>
      </c>
      <c r="H90" s="5">
        <v>23.38</v>
      </c>
      <c r="I90" s="102">
        <f>54.5/30*6</f>
        <v>10.9</v>
      </c>
      <c r="J90" s="5">
        <v>95</v>
      </c>
      <c r="K90" s="5"/>
      <c r="L90" s="6">
        <v>160</v>
      </c>
      <c r="M90" s="61">
        <v>64.5</v>
      </c>
      <c r="N90" s="6">
        <f>15+(145-64.5)*0.7</f>
        <v>71.349999999999994</v>
      </c>
    </row>
    <row r="91" spans="1:14">
      <c r="A91" s="44" t="s">
        <v>190</v>
      </c>
      <c r="B91" s="44"/>
      <c r="C91" s="4"/>
      <c r="D91" s="4">
        <v>44879</v>
      </c>
      <c r="E91" s="35">
        <v>44887</v>
      </c>
      <c r="F91" s="44" t="s">
        <v>161</v>
      </c>
      <c r="G91" s="56">
        <v>10</v>
      </c>
      <c r="H91" s="5">
        <v>14.6</v>
      </c>
      <c r="I91" s="102">
        <f>34/30*8</f>
        <v>9.0666666666666664</v>
      </c>
      <c r="J91" s="5">
        <v>45</v>
      </c>
      <c r="K91" s="5"/>
      <c r="L91" s="6">
        <v>75</v>
      </c>
      <c r="M91" s="61">
        <v>34</v>
      </c>
      <c r="N91" s="56">
        <f>10+(80-34)*0.7</f>
        <v>42.199999999999996</v>
      </c>
    </row>
    <row r="92" spans="1:14">
      <c r="A92" s="44" t="s">
        <v>193</v>
      </c>
      <c r="B92" s="44"/>
      <c r="C92" s="4">
        <v>44872</v>
      </c>
      <c r="D92" s="4">
        <v>44879</v>
      </c>
      <c r="E92" s="35">
        <v>44882</v>
      </c>
      <c r="F92" s="40"/>
      <c r="G92" s="5"/>
      <c r="H92" s="5">
        <v>10.039999999999999</v>
      </c>
      <c r="I92" s="102">
        <f>25/30*3</f>
        <v>2.5</v>
      </c>
      <c r="J92" s="5"/>
      <c r="K92" s="5"/>
      <c r="L92" s="6">
        <v>40</v>
      </c>
      <c r="M92" s="61">
        <v>25</v>
      </c>
      <c r="N92" s="6">
        <f>(L92-M92)*0.7</f>
        <v>10.5</v>
      </c>
    </row>
    <row r="93" spans="1:14">
      <c r="A93" s="44" t="s">
        <v>213</v>
      </c>
      <c r="B93" s="44"/>
      <c r="C93" s="4">
        <v>44894</v>
      </c>
      <c r="D93" s="4">
        <v>44908</v>
      </c>
      <c r="E93" s="35">
        <v>44944</v>
      </c>
      <c r="F93" s="40" t="s">
        <v>161</v>
      </c>
      <c r="G93" s="5">
        <v>15</v>
      </c>
      <c r="H93" s="5">
        <v>31.72</v>
      </c>
      <c r="I93" s="102">
        <f>50/30*35</f>
        <v>58.333333333333336</v>
      </c>
      <c r="J93" s="5">
        <f>60+50</f>
        <v>110</v>
      </c>
      <c r="K93" s="5"/>
      <c r="L93" s="6">
        <v>130</v>
      </c>
      <c r="M93" s="61">
        <f>19+2+3.5*2+11*2</f>
        <v>50</v>
      </c>
      <c r="N93" s="94">
        <f>15+(L93-M93-15)*0.7</f>
        <v>60.5</v>
      </c>
    </row>
    <row r="94" spans="1:14">
      <c r="A94" s="44" t="s">
        <v>227</v>
      </c>
      <c r="B94" s="44"/>
      <c r="C94" s="4">
        <v>44949</v>
      </c>
      <c r="D94" s="4">
        <v>44953</v>
      </c>
      <c r="E94" s="35">
        <v>44966</v>
      </c>
      <c r="F94" s="40" t="s">
        <v>160</v>
      </c>
      <c r="G94" s="5">
        <v>15</v>
      </c>
      <c r="H94" s="5">
        <v>16.38</v>
      </c>
      <c r="I94" s="102">
        <f>61.5/30*12</f>
        <v>24.599999999999998</v>
      </c>
      <c r="J94" s="5">
        <f>50+60</f>
        <v>110</v>
      </c>
      <c r="K94" s="5"/>
      <c r="L94" s="6">
        <v>160</v>
      </c>
      <c r="M94" s="65">
        <f>32.5+7+22</f>
        <v>61.5</v>
      </c>
      <c r="N94" s="59">
        <f>15+(L94-M94-15)*0.7</f>
        <v>73.449999999999989</v>
      </c>
    </row>
    <row r="95" spans="1:14">
      <c r="A95" s="44" t="s">
        <v>228</v>
      </c>
      <c r="B95" s="44"/>
      <c r="C95" s="4">
        <v>44957</v>
      </c>
      <c r="D95" s="4">
        <v>44957</v>
      </c>
      <c r="E95" s="35">
        <v>44977</v>
      </c>
      <c r="F95" s="40"/>
      <c r="G95" s="5"/>
      <c r="H95" s="5">
        <v>20.61</v>
      </c>
      <c r="I95" s="102">
        <f>66/30*20</f>
        <v>44</v>
      </c>
      <c r="J95" s="5">
        <v>90</v>
      </c>
      <c r="K95" s="5"/>
      <c r="L95" s="6">
        <v>155</v>
      </c>
      <c r="M95" s="65">
        <v>54</v>
      </c>
      <c r="N95" s="59">
        <f>(L95-M95)*0.7</f>
        <v>70.699999999999989</v>
      </c>
    </row>
    <row r="96" spans="1:14">
      <c r="A96" s="44" t="s">
        <v>255</v>
      </c>
      <c r="B96" s="44"/>
      <c r="C96" s="35">
        <v>44691</v>
      </c>
      <c r="D96" s="35">
        <v>44994</v>
      </c>
      <c r="E96" s="4">
        <v>44994</v>
      </c>
      <c r="F96" s="40"/>
      <c r="G96" s="40"/>
      <c r="H96" s="5">
        <v>11.03</v>
      </c>
      <c r="I96" s="102">
        <f>25*14</f>
        <v>350</v>
      </c>
      <c r="J96" s="40">
        <f>30+50</f>
        <v>80</v>
      </c>
      <c r="K96" s="40"/>
      <c r="L96" s="6">
        <v>90</v>
      </c>
      <c r="M96" s="6">
        <v>25</v>
      </c>
      <c r="N96" s="59">
        <v>48.5</v>
      </c>
    </row>
    <row r="97" spans="1:16">
      <c r="A97" s="44" t="s">
        <v>187</v>
      </c>
      <c r="B97" s="44"/>
      <c r="C97" s="35"/>
      <c r="D97" s="35">
        <v>44991</v>
      </c>
      <c r="E97" s="4">
        <v>44991</v>
      </c>
      <c r="F97" s="40"/>
      <c r="G97" s="40"/>
      <c r="H97" s="5">
        <v>13.31</v>
      </c>
      <c r="I97" s="102"/>
      <c r="J97" s="40">
        <v>45</v>
      </c>
      <c r="K97" s="40"/>
      <c r="L97" s="6">
        <v>80</v>
      </c>
      <c r="M97" s="6">
        <v>27</v>
      </c>
      <c r="N97" s="59">
        <f>(L97-M97)*0.7</f>
        <v>37.099999999999994</v>
      </c>
    </row>
    <row r="98" spans="1:16">
      <c r="A98" s="76" t="s">
        <v>276</v>
      </c>
      <c r="B98" s="44"/>
      <c r="C98" s="35">
        <v>45061</v>
      </c>
      <c r="D98" s="35">
        <v>45070</v>
      </c>
      <c r="E98" s="4"/>
      <c r="F98" s="40"/>
      <c r="G98" s="40"/>
      <c r="H98" s="5">
        <v>11.48</v>
      </c>
      <c r="I98" s="102">
        <f>21/30*9</f>
        <v>6.3</v>
      </c>
      <c r="J98" s="40"/>
      <c r="K98" s="40"/>
      <c r="L98" s="17">
        <f>50</f>
        <v>50</v>
      </c>
      <c r="M98" s="18">
        <v>21</v>
      </c>
      <c r="N98" s="70">
        <f>(50-21)*0.7</f>
        <v>20.299999999999997</v>
      </c>
    </row>
    <row r="99" spans="1:16">
      <c r="A99" s="76" t="s">
        <v>279</v>
      </c>
      <c r="B99" s="44"/>
      <c r="C99" s="35">
        <v>45065</v>
      </c>
      <c r="D99" s="35">
        <v>45070</v>
      </c>
      <c r="E99" s="4"/>
      <c r="F99" s="40"/>
      <c r="G99" s="40"/>
      <c r="H99" s="5">
        <v>11.48</v>
      </c>
      <c r="I99" s="102">
        <f>21/30*5</f>
        <v>3.5</v>
      </c>
      <c r="J99" s="40"/>
      <c r="K99" s="40"/>
      <c r="L99" s="17">
        <f>50</f>
        <v>50</v>
      </c>
      <c r="M99" s="18">
        <v>21</v>
      </c>
      <c r="N99" s="70">
        <f>(50-21)*0.7</f>
        <v>20.299999999999997</v>
      </c>
    </row>
    <row r="100" spans="1:16">
      <c r="A100" s="76" t="s">
        <v>278</v>
      </c>
      <c r="B100" s="52"/>
      <c r="C100" s="57">
        <v>44973</v>
      </c>
      <c r="D100" s="57">
        <v>45070</v>
      </c>
      <c r="E100" s="24"/>
      <c r="F100" s="48"/>
      <c r="G100" s="48"/>
      <c r="H100" s="25">
        <v>11.48</v>
      </c>
      <c r="I100" s="103">
        <f>21/30*98</f>
        <v>68.599999999999994</v>
      </c>
      <c r="J100" s="48"/>
      <c r="K100" s="48"/>
      <c r="L100" s="17">
        <v>50</v>
      </c>
      <c r="M100" s="26">
        <v>21</v>
      </c>
      <c r="N100" s="85">
        <f>(50-21)*0.7</f>
        <v>20.299999999999997</v>
      </c>
    </row>
    <row r="101" spans="1:16">
      <c r="A101" s="44" t="s">
        <v>289</v>
      </c>
      <c r="B101" s="44"/>
      <c r="C101" s="35">
        <v>45110</v>
      </c>
      <c r="D101" s="35">
        <v>45127</v>
      </c>
      <c r="E101" s="4">
        <v>45110</v>
      </c>
      <c r="F101" s="40"/>
      <c r="G101" s="40"/>
      <c r="H101" s="5">
        <v>13.31</v>
      </c>
      <c r="I101" s="102">
        <f>27/30*17</f>
        <v>15.3</v>
      </c>
      <c r="J101" s="40">
        <v>45</v>
      </c>
      <c r="K101" s="40"/>
      <c r="L101" s="6">
        <v>75</v>
      </c>
      <c r="M101" s="6">
        <v>27</v>
      </c>
      <c r="N101" s="59">
        <f>(L101-M101)*0.7</f>
        <v>33.599999999999994</v>
      </c>
    </row>
    <row r="102" spans="1:16">
      <c r="A102" s="44" t="s">
        <v>292</v>
      </c>
      <c r="B102" s="44"/>
      <c r="C102" s="35">
        <v>45138</v>
      </c>
      <c r="D102" s="35">
        <v>45139</v>
      </c>
      <c r="E102" s="35">
        <v>45162</v>
      </c>
      <c r="F102" s="40"/>
      <c r="G102" s="40"/>
      <c r="H102" s="5">
        <v>12.48</v>
      </c>
      <c r="I102" s="102">
        <f>27/30*23</f>
        <v>20.7</v>
      </c>
      <c r="J102" s="40">
        <v>45</v>
      </c>
      <c r="K102" s="40"/>
      <c r="L102" s="6">
        <v>90</v>
      </c>
      <c r="M102" s="6">
        <v>27</v>
      </c>
      <c r="N102" s="59">
        <f>(L102-M102)*0.7</f>
        <v>44.099999999999994</v>
      </c>
    </row>
    <row r="103" spans="1:16">
      <c r="A103" s="44" t="s">
        <v>293</v>
      </c>
      <c r="B103" s="44"/>
      <c r="C103" s="35">
        <v>45086</v>
      </c>
      <c r="D103" s="35">
        <v>45089</v>
      </c>
      <c r="E103" s="4">
        <v>45103</v>
      </c>
      <c r="F103" s="40"/>
      <c r="G103" s="40"/>
      <c r="H103" s="5">
        <v>11.03</v>
      </c>
      <c r="I103" s="102">
        <f>21/30*14</f>
        <v>9.7999999999999989</v>
      </c>
      <c r="J103" s="40"/>
      <c r="K103" s="40"/>
      <c r="L103" s="6">
        <v>50</v>
      </c>
      <c r="M103" s="6">
        <v>21</v>
      </c>
      <c r="N103" s="59">
        <f>(L103-M103)*0.7</f>
        <v>20.299999999999997</v>
      </c>
    </row>
    <row r="104" spans="1:16">
      <c r="A104" s="44" t="s">
        <v>295</v>
      </c>
      <c r="B104" s="44"/>
      <c r="C104" s="35">
        <v>45228</v>
      </c>
      <c r="D104" s="35">
        <v>45203</v>
      </c>
      <c r="E104" s="4"/>
      <c r="F104" s="40"/>
      <c r="G104" s="40"/>
      <c r="H104" s="5">
        <v>13.31</v>
      </c>
      <c r="I104" s="102">
        <f>27/30*5</f>
        <v>4.5</v>
      </c>
      <c r="J104" s="40">
        <v>45</v>
      </c>
      <c r="K104" s="40"/>
      <c r="L104" s="6">
        <v>80</v>
      </c>
      <c r="M104" s="6">
        <v>27</v>
      </c>
      <c r="N104" s="59">
        <f>(L104-M104)*0.7</f>
        <v>37.099999999999994</v>
      </c>
    </row>
    <row r="105" spans="1:16">
      <c r="A105" s="44" t="s">
        <v>320</v>
      </c>
      <c r="B105" s="44"/>
      <c r="C105" s="35">
        <v>45177</v>
      </c>
      <c r="D105" s="35">
        <v>45196</v>
      </c>
      <c r="E105" s="4"/>
      <c r="F105" s="40"/>
      <c r="G105" s="40"/>
      <c r="H105" s="5">
        <v>10.44</v>
      </c>
      <c r="I105" s="102">
        <f>38/30*21</f>
        <v>26.599999999999998</v>
      </c>
      <c r="J105" s="40"/>
      <c r="K105" s="40"/>
      <c r="L105" s="6">
        <v>69</v>
      </c>
      <c r="M105" s="6">
        <v>38</v>
      </c>
      <c r="N105" s="59">
        <f>(69-38)*0.7</f>
        <v>21.7</v>
      </c>
    </row>
    <row r="106" spans="1:16">
      <c r="A106" s="44" t="s">
        <v>325</v>
      </c>
      <c r="B106" s="44"/>
      <c r="C106" s="35"/>
      <c r="D106" s="35">
        <v>45223</v>
      </c>
      <c r="E106" s="4">
        <v>45239</v>
      </c>
      <c r="F106" s="40"/>
      <c r="G106" s="40"/>
      <c r="H106" s="5">
        <v>40</v>
      </c>
      <c r="I106" s="102">
        <f>43/30*15</f>
        <v>21.5</v>
      </c>
      <c r="J106" s="40"/>
      <c r="K106" s="40"/>
      <c r="L106" s="6">
        <v>69</v>
      </c>
      <c r="M106" s="6">
        <v>43</v>
      </c>
      <c r="N106" s="94">
        <f>(69-43)*0.7</f>
        <v>18.2</v>
      </c>
      <c r="O106" s="72" t="s">
        <v>329</v>
      </c>
      <c r="P106" s="72">
        <v>12.74</v>
      </c>
    </row>
    <row r="107" spans="1:16">
      <c r="A107" s="44" t="s">
        <v>326</v>
      </c>
      <c r="B107" s="44"/>
      <c r="C107" s="35"/>
      <c r="D107" s="35">
        <v>45188</v>
      </c>
      <c r="E107" s="4">
        <v>45209</v>
      </c>
      <c r="F107" s="40"/>
      <c r="G107" s="40"/>
      <c r="H107" s="5">
        <v>11.48</v>
      </c>
      <c r="I107" s="102"/>
      <c r="J107" s="40"/>
      <c r="K107" s="40"/>
      <c r="L107" s="6">
        <v>59</v>
      </c>
      <c r="M107" s="6">
        <v>38</v>
      </c>
      <c r="N107" s="59">
        <f>(L107-M107)*0.7</f>
        <v>14.7</v>
      </c>
    </row>
    <row r="108" spans="1:16">
      <c r="A108" s="44" t="s">
        <v>108</v>
      </c>
      <c r="B108" s="44"/>
      <c r="C108" s="35"/>
      <c r="D108" s="35">
        <v>45231</v>
      </c>
      <c r="E108" s="4">
        <v>45231</v>
      </c>
      <c r="F108" s="40"/>
      <c r="G108" s="40"/>
      <c r="H108" s="5"/>
      <c r="I108" s="102"/>
      <c r="J108" s="40"/>
      <c r="K108" s="40"/>
      <c r="L108" s="6">
        <v>69</v>
      </c>
      <c r="M108" s="6">
        <v>43</v>
      </c>
      <c r="N108" s="59">
        <f>(L108-M108)*0.7</f>
        <v>18.2</v>
      </c>
    </row>
    <row r="109" spans="1:16">
      <c r="A109" s="44" t="s">
        <v>327</v>
      </c>
      <c r="B109" s="44"/>
      <c r="C109" s="35"/>
      <c r="D109" s="35"/>
      <c r="E109" s="4">
        <v>45127</v>
      </c>
      <c r="F109" s="40"/>
      <c r="G109" s="40"/>
      <c r="H109" s="5">
        <v>11.48</v>
      </c>
      <c r="I109" s="102"/>
      <c r="J109" s="40"/>
      <c r="K109" s="40"/>
      <c r="L109" s="6">
        <v>25</v>
      </c>
      <c r="M109" s="6">
        <v>9</v>
      </c>
      <c r="N109" s="59">
        <f>(L109-M109)*0.7</f>
        <v>11.2</v>
      </c>
    </row>
    <row r="110" spans="1:16">
      <c r="A110" s="44" t="s">
        <v>336</v>
      </c>
      <c r="B110" s="44"/>
      <c r="C110" s="35"/>
      <c r="D110" s="35">
        <v>45278</v>
      </c>
      <c r="E110" s="4">
        <v>45278</v>
      </c>
      <c r="F110" s="40"/>
      <c r="G110" s="40"/>
      <c r="H110" s="5"/>
      <c r="I110" s="102"/>
      <c r="J110" s="40"/>
      <c r="K110" s="40"/>
      <c r="L110" s="6">
        <v>69</v>
      </c>
      <c r="M110" s="6">
        <v>43</v>
      </c>
      <c r="N110" s="59">
        <f>(69-43)*0.7/30*42</f>
        <v>25.48</v>
      </c>
    </row>
    <row r="111" spans="1:16">
      <c r="A111" s="44" t="s">
        <v>337</v>
      </c>
      <c r="B111" s="44"/>
      <c r="C111" s="35">
        <v>45342</v>
      </c>
      <c r="D111" s="35">
        <v>44977</v>
      </c>
      <c r="E111" s="4">
        <v>45342</v>
      </c>
      <c r="F111" s="40"/>
      <c r="G111" s="40"/>
      <c r="H111" s="5">
        <v>13.78</v>
      </c>
      <c r="I111" s="102"/>
      <c r="J111" s="40">
        <f>45+50</f>
        <v>95</v>
      </c>
      <c r="K111" s="40"/>
      <c r="L111" s="6">
        <v>100</v>
      </c>
      <c r="M111" s="6">
        <v>38.5</v>
      </c>
      <c r="N111" s="59">
        <f t="shared" ref="N111:N132" si="2">(L111-M111)*0.7</f>
        <v>43.05</v>
      </c>
    </row>
    <row r="112" spans="1:16">
      <c r="A112" s="44" t="s">
        <v>338</v>
      </c>
      <c r="B112" s="44"/>
      <c r="C112" s="35">
        <v>45271</v>
      </c>
      <c r="D112" s="35"/>
      <c r="E112" s="4">
        <v>45301</v>
      </c>
      <c r="F112" s="40"/>
      <c r="G112" s="40"/>
      <c r="H112" s="5">
        <v>14.26</v>
      </c>
      <c r="I112" s="102">
        <f>25/30*29</f>
        <v>24.166666666666668</v>
      </c>
      <c r="J112" s="40">
        <f>30+50</f>
        <v>80</v>
      </c>
      <c r="K112" s="40"/>
      <c r="L112" s="6">
        <v>80</v>
      </c>
      <c r="M112" s="6">
        <v>29</v>
      </c>
      <c r="N112" s="59">
        <f t="shared" si="2"/>
        <v>35.699999999999996</v>
      </c>
      <c r="O112" t="s">
        <v>339</v>
      </c>
    </row>
    <row r="113" spans="1:14">
      <c r="A113" s="44" t="s">
        <v>333</v>
      </c>
      <c r="B113" s="44"/>
      <c r="C113" s="35"/>
      <c r="D113" s="35"/>
      <c r="E113" s="4">
        <v>45336</v>
      </c>
      <c r="F113" s="40"/>
      <c r="G113" s="40"/>
      <c r="H113" s="5">
        <v>10</v>
      </c>
      <c r="I113" s="102">
        <v>0</v>
      </c>
      <c r="J113" s="40">
        <v>120</v>
      </c>
      <c r="K113" s="40"/>
      <c r="L113" s="6">
        <v>160</v>
      </c>
      <c r="M113" s="6">
        <v>72</v>
      </c>
      <c r="N113" s="59">
        <f t="shared" si="2"/>
        <v>61.599999999999994</v>
      </c>
    </row>
    <row r="114" spans="1:14">
      <c r="A114" s="44" t="s">
        <v>343</v>
      </c>
      <c r="B114" s="44"/>
      <c r="C114" s="35"/>
      <c r="D114" s="35"/>
      <c r="E114" s="4">
        <v>45336</v>
      </c>
      <c r="F114" s="40"/>
      <c r="G114" s="40"/>
      <c r="H114" s="5">
        <v>10.92</v>
      </c>
      <c r="I114" s="102"/>
      <c r="J114" s="40"/>
      <c r="K114" s="40"/>
      <c r="L114" s="6">
        <v>59</v>
      </c>
      <c r="M114" s="6">
        <v>38</v>
      </c>
      <c r="N114" s="59">
        <f t="shared" si="2"/>
        <v>14.7</v>
      </c>
    </row>
    <row r="115" spans="1:14">
      <c r="A115" s="44" t="s">
        <v>381</v>
      </c>
      <c r="B115" s="44"/>
      <c r="C115" s="35"/>
      <c r="D115" s="35">
        <v>45323</v>
      </c>
      <c r="E115" s="4">
        <v>45323</v>
      </c>
      <c r="F115" s="40"/>
      <c r="G115" s="40"/>
      <c r="H115" s="5">
        <v>10.92</v>
      </c>
      <c r="I115" s="102"/>
      <c r="J115" s="40"/>
      <c r="K115" s="40"/>
      <c r="L115" s="6">
        <v>59</v>
      </c>
      <c r="M115" s="6">
        <v>38</v>
      </c>
      <c r="N115" s="59">
        <f t="shared" si="2"/>
        <v>14.7</v>
      </c>
    </row>
    <row r="116" spans="1:14">
      <c r="A116" s="44" t="s">
        <v>345</v>
      </c>
      <c r="B116" s="44"/>
      <c r="C116" s="35"/>
      <c r="D116" s="35"/>
      <c r="E116" s="4">
        <v>45345</v>
      </c>
      <c r="F116" s="40"/>
      <c r="G116" s="40"/>
      <c r="H116" s="5">
        <v>24.2</v>
      </c>
      <c r="I116" s="102"/>
      <c r="J116" s="40">
        <v>45</v>
      </c>
      <c r="K116" s="40"/>
      <c r="L116" s="6">
        <v>90</v>
      </c>
      <c r="M116" s="6">
        <f>7+9</f>
        <v>16</v>
      </c>
      <c r="N116" s="59">
        <f t="shared" si="2"/>
        <v>51.8</v>
      </c>
    </row>
    <row r="117" spans="1:14">
      <c r="A117" s="44" t="s">
        <v>346</v>
      </c>
      <c r="B117" s="44"/>
      <c r="C117" s="35"/>
      <c r="D117" s="35"/>
      <c r="E117" s="4">
        <v>45334</v>
      </c>
      <c r="F117" s="40"/>
      <c r="G117" s="40"/>
      <c r="H117" s="5">
        <v>12.01</v>
      </c>
      <c r="I117" s="102"/>
      <c r="J117" s="40">
        <v>15</v>
      </c>
      <c r="K117" s="40"/>
      <c r="L117" s="6">
        <v>20</v>
      </c>
      <c r="M117" s="6">
        <v>9</v>
      </c>
      <c r="N117" s="70">
        <f t="shared" si="2"/>
        <v>7.6999999999999993</v>
      </c>
    </row>
    <row r="118" spans="1:14">
      <c r="A118" s="44" t="s">
        <v>361</v>
      </c>
      <c r="B118" s="44"/>
      <c r="C118" s="35"/>
      <c r="D118" s="35">
        <v>45366</v>
      </c>
      <c r="E118" s="4">
        <v>45385</v>
      </c>
      <c r="F118" s="40"/>
      <c r="G118" s="40"/>
      <c r="H118" s="5"/>
      <c r="I118" s="102">
        <f>69/30*18</f>
        <v>41.4</v>
      </c>
      <c r="J118" s="40"/>
      <c r="K118" s="40"/>
      <c r="L118" s="6">
        <v>69</v>
      </c>
      <c r="M118" s="6">
        <v>43</v>
      </c>
      <c r="N118" s="70">
        <f t="shared" si="2"/>
        <v>18.2</v>
      </c>
    </row>
    <row r="119" spans="1:14">
      <c r="A119" s="44" t="s">
        <v>365</v>
      </c>
      <c r="B119" s="44"/>
      <c r="C119" s="35"/>
      <c r="D119" s="35">
        <v>45450</v>
      </c>
      <c r="E119" s="4">
        <v>45456</v>
      </c>
      <c r="F119" s="40"/>
      <c r="G119" s="40"/>
      <c r="H119" s="5"/>
      <c r="I119" s="102">
        <f>47/30*5</f>
        <v>7.833333333333333</v>
      </c>
      <c r="J119" s="40"/>
      <c r="K119" s="40"/>
      <c r="L119" s="6">
        <v>69</v>
      </c>
      <c r="M119" s="6">
        <v>47</v>
      </c>
      <c r="N119" s="59">
        <f t="shared" si="2"/>
        <v>15.399999999999999</v>
      </c>
    </row>
    <row r="120" spans="1:14">
      <c r="A120" s="44" t="s">
        <v>358</v>
      </c>
      <c r="B120" s="44"/>
      <c r="C120" s="35"/>
      <c r="D120" s="35">
        <v>45468</v>
      </c>
      <c r="E120" s="4">
        <v>45468</v>
      </c>
      <c r="F120" s="40"/>
      <c r="G120" s="40"/>
      <c r="H120" s="5">
        <v>12.01</v>
      </c>
      <c r="I120" s="102"/>
      <c r="J120" s="40"/>
      <c r="K120" s="40"/>
      <c r="L120" s="6">
        <v>59</v>
      </c>
      <c r="M120" s="6">
        <v>38</v>
      </c>
      <c r="N120" s="59">
        <f t="shared" si="2"/>
        <v>14.7</v>
      </c>
    </row>
    <row r="121" spans="1:14">
      <c r="A121" s="44" t="s">
        <v>218</v>
      </c>
      <c r="B121" s="44"/>
      <c r="C121" s="35"/>
      <c r="D121" s="35">
        <v>45456</v>
      </c>
      <c r="E121" s="4">
        <v>45456</v>
      </c>
      <c r="F121" s="40"/>
      <c r="G121" s="40"/>
      <c r="H121" s="5">
        <v>10</v>
      </c>
      <c r="I121" s="102"/>
      <c r="J121" s="40">
        <v>45</v>
      </c>
      <c r="K121" s="40"/>
      <c r="L121" s="6">
        <v>80</v>
      </c>
      <c r="M121" s="6">
        <v>27</v>
      </c>
      <c r="N121" s="59">
        <f t="shared" si="2"/>
        <v>37.099999999999994</v>
      </c>
    </row>
    <row r="122" spans="1:14">
      <c r="A122" s="44" t="s">
        <v>366</v>
      </c>
      <c r="B122" s="44"/>
      <c r="C122" s="35"/>
      <c r="D122" s="35">
        <v>45454</v>
      </c>
      <c r="E122" s="4"/>
      <c r="F122" s="40"/>
      <c r="G122" s="40"/>
      <c r="H122" s="5"/>
      <c r="I122" s="102"/>
      <c r="J122" s="40"/>
      <c r="K122" s="40"/>
      <c r="L122" s="6">
        <v>59</v>
      </c>
      <c r="M122" s="6">
        <v>38</v>
      </c>
      <c r="N122" s="59">
        <f t="shared" si="2"/>
        <v>14.7</v>
      </c>
    </row>
    <row r="123" spans="1:14">
      <c r="A123" s="44" t="s">
        <v>64</v>
      </c>
      <c r="B123" s="44"/>
      <c r="C123" s="35"/>
      <c r="D123" s="35">
        <v>45469</v>
      </c>
      <c r="E123" s="4">
        <v>45469</v>
      </c>
      <c r="F123" s="40"/>
      <c r="G123" s="40"/>
      <c r="H123" s="5"/>
      <c r="I123" s="102"/>
      <c r="J123" s="40"/>
      <c r="K123" s="40"/>
      <c r="L123" s="6">
        <v>100</v>
      </c>
      <c r="M123" s="18">
        <v>5</v>
      </c>
      <c r="N123" s="59">
        <f t="shared" si="2"/>
        <v>66.5</v>
      </c>
    </row>
    <row r="124" spans="1:14">
      <c r="A124" s="44" t="s">
        <v>369</v>
      </c>
      <c r="B124" s="44"/>
      <c r="C124" s="35"/>
      <c r="D124" s="35">
        <v>45464</v>
      </c>
      <c r="E124" s="4">
        <v>41811</v>
      </c>
      <c r="F124" s="40"/>
      <c r="G124" s="40"/>
      <c r="H124" s="5">
        <v>24.98</v>
      </c>
      <c r="I124" s="102"/>
      <c r="J124" s="40">
        <v>15</v>
      </c>
      <c r="K124" s="40"/>
      <c r="L124" s="6">
        <v>80</v>
      </c>
      <c r="M124" s="6">
        <v>42.5</v>
      </c>
      <c r="N124" s="59">
        <f t="shared" si="2"/>
        <v>26.25</v>
      </c>
    </row>
    <row r="125" spans="1:14">
      <c r="A125" s="44" t="s">
        <v>370</v>
      </c>
      <c r="B125" s="44"/>
      <c r="C125" s="35"/>
      <c r="D125" s="35">
        <v>45444</v>
      </c>
      <c r="E125" s="4">
        <v>41791</v>
      </c>
      <c r="F125" s="40"/>
      <c r="G125" s="40"/>
      <c r="H125" s="5">
        <v>12.98</v>
      </c>
      <c r="I125" s="102"/>
      <c r="J125" s="40">
        <v>30</v>
      </c>
      <c r="K125" s="40"/>
      <c r="L125" s="6">
        <v>65</v>
      </c>
      <c r="M125" s="6">
        <v>18</v>
      </c>
      <c r="N125" s="59">
        <f t="shared" si="2"/>
        <v>32.9</v>
      </c>
    </row>
    <row r="126" spans="1:14">
      <c r="A126" s="44" t="s">
        <v>375</v>
      </c>
      <c r="B126" s="44"/>
      <c r="C126" s="35"/>
      <c r="D126" s="35">
        <v>45471</v>
      </c>
      <c r="E126" s="35">
        <v>45471</v>
      </c>
      <c r="F126" s="40"/>
      <c r="G126" s="40"/>
      <c r="H126" s="5">
        <f>10+12.01</f>
        <v>22.009999999999998</v>
      </c>
      <c r="I126" s="102"/>
      <c r="J126" s="40">
        <v>30</v>
      </c>
      <c r="K126" s="40"/>
      <c r="L126" s="6">
        <v>90</v>
      </c>
      <c r="M126" s="18">
        <f>38.5+1+18</f>
        <v>57.5</v>
      </c>
      <c r="N126" s="70">
        <f t="shared" si="2"/>
        <v>22.75</v>
      </c>
    </row>
    <row r="127" spans="1:14">
      <c r="A127" s="44" t="s">
        <v>83</v>
      </c>
      <c r="B127" s="44"/>
      <c r="C127" s="35"/>
      <c r="D127" s="35">
        <v>45482</v>
      </c>
      <c r="E127" s="35">
        <v>45482</v>
      </c>
      <c r="F127" s="40"/>
      <c r="G127" s="40"/>
      <c r="H127" s="5"/>
      <c r="I127" s="102"/>
      <c r="J127" s="40"/>
      <c r="K127" s="40"/>
      <c r="L127" s="6">
        <v>69</v>
      </c>
      <c r="M127" s="18">
        <v>43</v>
      </c>
      <c r="N127" s="70">
        <f t="shared" si="2"/>
        <v>18.2</v>
      </c>
    </row>
    <row r="128" spans="1:14">
      <c r="A128" s="44" t="s">
        <v>383</v>
      </c>
      <c r="B128" s="44"/>
      <c r="C128" s="35"/>
      <c r="D128" s="35">
        <v>45434</v>
      </c>
      <c r="E128" s="35">
        <v>45513</v>
      </c>
      <c r="F128" s="40"/>
      <c r="G128" s="40"/>
      <c r="H128" s="5">
        <v>14.58</v>
      </c>
      <c r="I128" s="102"/>
      <c r="J128" s="40"/>
      <c r="K128" s="40"/>
      <c r="L128" s="6">
        <v>69</v>
      </c>
      <c r="M128" s="18">
        <v>43</v>
      </c>
      <c r="N128" s="70">
        <f t="shared" si="2"/>
        <v>18.2</v>
      </c>
    </row>
    <row r="129" spans="1:14">
      <c r="A129" s="44" t="s">
        <v>384</v>
      </c>
      <c r="B129" s="44"/>
      <c r="C129" s="35"/>
      <c r="D129" s="35"/>
      <c r="E129" s="35">
        <v>45513</v>
      </c>
      <c r="F129" s="40"/>
      <c r="G129" s="40"/>
      <c r="H129" s="5"/>
      <c r="I129" s="102"/>
      <c r="J129" s="40">
        <v>60</v>
      </c>
      <c r="K129" s="40"/>
      <c r="L129" s="6">
        <v>105</v>
      </c>
      <c r="M129" s="6">
        <v>36</v>
      </c>
      <c r="N129" s="70">
        <f t="shared" si="2"/>
        <v>48.3</v>
      </c>
    </row>
    <row r="130" spans="1:14">
      <c r="A130" s="44" t="s">
        <v>389</v>
      </c>
      <c r="B130" s="44"/>
      <c r="C130" s="35"/>
      <c r="D130" s="35">
        <v>45574</v>
      </c>
      <c r="E130" s="35">
        <v>45574</v>
      </c>
      <c r="F130" s="40"/>
      <c r="G130" s="40"/>
      <c r="H130" s="5"/>
      <c r="I130" s="102"/>
      <c r="J130" s="40"/>
      <c r="K130" s="40"/>
      <c r="L130" s="6">
        <v>10</v>
      </c>
      <c r="M130" s="6">
        <v>1</v>
      </c>
      <c r="N130" s="59">
        <f t="shared" si="2"/>
        <v>6.3</v>
      </c>
    </row>
    <row r="131" spans="1:14">
      <c r="A131" s="44" t="s">
        <v>397</v>
      </c>
      <c r="B131" s="44"/>
      <c r="C131" s="35"/>
      <c r="D131" s="35">
        <v>45510</v>
      </c>
      <c r="E131" s="35">
        <v>45574</v>
      </c>
      <c r="F131" s="40"/>
      <c r="G131" s="40"/>
      <c r="H131" s="5">
        <v>31.89</v>
      </c>
      <c r="I131" s="102">
        <f>79/30*63*0.5</f>
        <v>82.95</v>
      </c>
      <c r="J131" s="40">
        <v>60</v>
      </c>
      <c r="K131" s="40"/>
      <c r="L131" s="6">
        <v>174</v>
      </c>
      <c r="M131" s="6">
        <v>79</v>
      </c>
      <c r="N131" s="59">
        <f t="shared" si="2"/>
        <v>66.5</v>
      </c>
    </row>
    <row r="132" spans="1:14">
      <c r="A132" s="44" t="s">
        <v>398</v>
      </c>
      <c r="B132" s="44"/>
      <c r="C132" s="35"/>
      <c r="D132" s="35">
        <v>45516</v>
      </c>
      <c r="E132" s="35">
        <v>45583</v>
      </c>
      <c r="F132" s="40"/>
      <c r="G132" s="40"/>
      <c r="H132" s="5"/>
      <c r="I132" s="102">
        <f>56.5/30*66*0.5</f>
        <v>62.15</v>
      </c>
      <c r="J132" s="40">
        <v>75</v>
      </c>
      <c r="K132" s="40"/>
      <c r="L132" s="6">
        <v>140</v>
      </c>
      <c r="M132" s="6">
        <v>56.5</v>
      </c>
      <c r="N132" s="59">
        <f t="shared" si="2"/>
        <v>58.449999999999996</v>
      </c>
    </row>
    <row r="133" spans="1:14">
      <c r="A133" s="44" t="s">
        <v>390</v>
      </c>
      <c r="B133" s="44"/>
      <c r="C133" s="35"/>
      <c r="D133" s="35">
        <v>45573</v>
      </c>
      <c r="E133" s="35">
        <v>45621</v>
      </c>
      <c r="F133" s="40"/>
      <c r="G133" s="40"/>
      <c r="H133" s="5">
        <v>16.940000000000001</v>
      </c>
      <c r="I133" s="102">
        <f>47.5/30*47</f>
        <v>74.416666666666657</v>
      </c>
      <c r="J133" s="40">
        <v>60</v>
      </c>
      <c r="K133" s="40"/>
      <c r="L133" s="6">
        <v>130</v>
      </c>
      <c r="M133" s="6">
        <v>63.5</v>
      </c>
      <c r="N133" s="59">
        <f>(L133-M133)*0.7</f>
        <v>46.55</v>
      </c>
    </row>
    <row r="134" spans="1:14">
      <c r="A134" s="44" t="s">
        <v>406</v>
      </c>
      <c r="B134" s="44"/>
      <c r="C134" s="35">
        <v>45624</v>
      </c>
      <c r="D134" s="35">
        <v>45631</v>
      </c>
      <c r="E134" s="35">
        <v>45631</v>
      </c>
      <c r="F134" s="40"/>
      <c r="G134" s="40"/>
      <c r="H134" s="5">
        <v>13.98</v>
      </c>
      <c r="I134" s="102"/>
      <c r="J134" s="40">
        <v>15</v>
      </c>
      <c r="K134" s="40"/>
      <c r="L134" s="6">
        <v>59</v>
      </c>
      <c r="M134" s="6">
        <v>38</v>
      </c>
      <c r="N134" s="59">
        <f>(L134-M134)*0.7</f>
        <v>14.7</v>
      </c>
    </row>
    <row r="135" spans="1:14">
      <c r="A135" s="44" t="s">
        <v>410</v>
      </c>
      <c r="B135" s="44"/>
      <c r="C135" s="35"/>
      <c r="D135" s="35"/>
      <c r="E135" s="35">
        <v>45613</v>
      </c>
      <c r="F135" s="40"/>
      <c r="G135" s="40"/>
      <c r="H135" s="5">
        <v>10</v>
      </c>
      <c r="I135" s="102">
        <f>-(14*14+14/30*13)</f>
        <v>-202.06666666666666</v>
      </c>
      <c r="J135" s="40">
        <v>15</v>
      </c>
      <c r="K135" s="40"/>
      <c r="L135" s="6">
        <v>30</v>
      </c>
      <c r="M135" s="6">
        <v>10</v>
      </c>
      <c r="N135" s="59">
        <f t="shared" ref="N135" si="3">(L135-M135)*0.7</f>
        <v>14</v>
      </c>
    </row>
    <row r="136" spans="1:14">
      <c r="A136" s="44" t="s">
        <v>408</v>
      </c>
      <c r="B136" s="44"/>
      <c r="C136" s="35"/>
      <c r="D136" s="35">
        <v>45642</v>
      </c>
      <c r="E136" s="35">
        <v>45706</v>
      </c>
      <c r="F136" s="40"/>
      <c r="G136" s="40"/>
      <c r="H136" s="5">
        <v>31.21</v>
      </c>
      <c r="I136" s="102">
        <f>50/30*62</f>
        <v>103.33333333333334</v>
      </c>
      <c r="J136" s="40">
        <f>15*7</f>
        <v>105</v>
      </c>
      <c r="K136" s="40"/>
      <c r="L136" s="6">
        <v>210</v>
      </c>
      <c r="M136" s="6">
        <v>94</v>
      </c>
      <c r="N136" s="59">
        <f>(L136-M136)*0.7</f>
        <v>81.199999999999989</v>
      </c>
    </row>
    <row r="137" spans="1:14">
      <c r="A137" s="44" t="s">
        <v>402</v>
      </c>
      <c r="B137" s="44"/>
      <c r="C137" s="35"/>
      <c r="D137" s="35">
        <v>45637</v>
      </c>
      <c r="E137" s="35">
        <v>45698</v>
      </c>
      <c r="F137" s="40"/>
      <c r="G137" s="40"/>
      <c r="H137" s="5">
        <v>13.98</v>
      </c>
      <c r="I137" s="102">
        <f>45/30*59</f>
        <v>88.5</v>
      </c>
      <c r="J137" s="40">
        <v>30</v>
      </c>
      <c r="K137" s="40"/>
      <c r="L137" s="6">
        <v>120</v>
      </c>
      <c r="M137" s="6">
        <v>45</v>
      </c>
      <c r="N137" s="59">
        <f>(L137-M137)*0.7</f>
        <v>52.5</v>
      </c>
    </row>
    <row r="138" spans="1:14">
      <c r="A138" s="44" t="s">
        <v>392</v>
      </c>
      <c r="B138" s="44"/>
      <c r="C138" s="35"/>
      <c r="D138" s="35"/>
      <c r="E138" s="35">
        <v>45694</v>
      </c>
      <c r="F138" s="40"/>
      <c r="G138" s="40"/>
      <c r="H138" s="5">
        <v>31.89</v>
      </c>
      <c r="I138" s="102" t="s">
        <v>414</v>
      </c>
      <c r="J138" s="40">
        <v>75</v>
      </c>
      <c r="K138" s="40"/>
      <c r="L138" s="6">
        <v>145</v>
      </c>
      <c r="M138" s="6">
        <v>72</v>
      </c>
      <c r="N138" s="59">
        <f>(L138-M138)*0.7</f>
        <v>51.099999999999994</v>
      </c>
    </row>
    <row r="139" spans="1:14">
      <c r="A139" s="10" t="s">
        <v>413</v>
      </c>
      <c r="B139" s="44"/>
      <c r="C139" s="35"/>
      <c r="D139" s="35"/>
      <c r="E139" s="35">
        <v>45730</v>
      </c>
      <c r="F139" s="40"/>
      <c r="G139" s="40"/>
      <c r="H139" s="5">
        <v>15.34</v>
      </c>
      <c r="I139" s="102"/>
      <c r="J139" s="40"/>
      <c r="K139" s="40"/>
      <c r="L139" s="6">
        <v>80</v>
      </c>
      <c r="M139" s="6">
        <v>28</v>
      </c>
      <c r="N139" s="59">
        <f>(L139-M139)*0.7/30*16</f>
        <v>19.413333333333334</v>
      </c>
    </row>
    <row r="140" spans="1:14">
      <c r="A140" s="10" t="s">
        <v>418</v>
      </c>
      <c r="B140" s="44"/>
      <c r="C140" s="35"/>
      <c r="D140" s="35"/>
      <c r="E140" s="35">
        <v>45737</v>
      </c>
      <c r="F140" s="40"/>
      <c r="G140" s="40"/>
      <c r="H140" s="5">
        <v>32.17</v>
      </c>
      <c r="I140" s="102"/>
      <c r="J140" s="40">
        <v>90</v>
      </c>
      <c r="K140" s="40"/>
      <c r="L140" s="6">
        <v>150</v>
      </c>
      <c r="M140" s="6">
        <v>43</v>
      </c>
      <c r="N140" s="59">
        <f>(L140-M140)*0.7/30*9</f>
        <v>22.47</v>
      </c>
    </row>
    <row r="141" spans="1:14">
      <c r="A141" s="10" t="s">
        <v>417</v>
      </c>
      <c r="B141" s="44"/>
      <c r="C141" s="35"/>
      <c r="D141" s="35"/>
      <c r="E141" s="35">
        <v>45687</v>
      </c>
      <c r="F141" s="40"/>
      <c r="G141" s="40"/>
      <c r="H141" s="5"/>
      <c r="I141" s="102"/>
      <c r="J141" s="40">
        <v>40</v>
      </c>
      <c r="K141" s="40"/>
      <c r="L141" s="6">
        <v>59</v>
      </c>
      <c r="M141" s="6">
        <v>43</v>
      </c>
      <c r="N141" s="59">
        <f>(L141-M141)*0.7*2</f>
        <v>22.4</v>
      </c>
    </row>
    <row r="142" spans="1:14">
      <c r="C142" s="36"/>
      <c r="D142" s="36"/>
      <c r="F142" s="28"/>
      <c r="G142" s="28"/>
      <c r="H142" s="30"/>
      <c r="I142" s="30"/>
      <c r="M142" s="62" t="s">
        <v>4</v>
      </c>
      <c r="N142" s="18">
        <f>SUM(N2:N141)</f>
        <v>5113.9133333333311</v>
      </c>
    </row>
    <row r="143" spans="1:14">
      <c r="C143" s="36"/>
      <c r="D143" s="36"/>
      <c r="F143" s="28"/>
      <c r="G143" s="28"/>
      <c r="H143" s="30"/>
      <c r="I143" s="104"/>
      <c r="M143" s="61" t="s">
        <v>251</v>
      </c>
      <c r="N143" s="6">
        <f>N142-H140-I140-J140-J141+L146</f>
        <v>4972.7433333333311</v>
      </c>
    </row>
    <row r="144" spans="1:14">
      <c r="C144" s="36"/>
      <c r="D144" s="36"/>
      <c r="F144" s="28"/>
      <c r="G144" s="28"/>
      <c r="H144" s="30"/>
      <c r="I144" s="104"/>
    </row>
    <row r="146" spans="1:16">
      <c r="A146" s="28"/>
      <c r="B146" s="28"/>
      <c r="E146" s="15"/>
      <c r="F146" s="1"/>
      <c r="G146" s="1"/>
      <c r="H146" s="1"/>
      <c r="J146" s="1"/>
      <c r="K146" s="1" t="s">
        <v>416</v>
      </c>
      <c r="L146" s="1">
        <f>30*0.7</f>
        <v>21</v>
      </c>
      <c r="M146" s="1"/>
      <c r="N146" s="29"/>
    </row>
    <row r="147" spans="1:16">
      <c r="L147" s="1"/>
      <c r="M147" s="1"/>
    </row>
    <row r="148" spans="1:16">
      <c r="H148" s="30"/>
      <c r="L148" s="1"/>
      <c r="M148"/>
    </row>
    <row r="149" spans="1:16">
      <c r="M149"/>
      <c r="P149" s="42"/>
    </row>
    <row r="150" spans="1:16">
      <c r="L150" s="1"/>
    </row>
    <row r="151" spans="1:16">
      <c r="L151" s="1"/>
      <c r="N151" s="108"/>
      <c r="P151" s="42"/>
    </row>
    <row r="152" spans="1:16">
      <c r="L152" s="1"/>
    </row>
    <row r="153" spans="1:16">
      <c r="L153" s="1"/>
      <c r="N153" s="1"/>
      <c r="P153" s="42"/>
    </row>
    <row r="154" spans="1:16">
      <c r="L154" s="1"/>
    </row>
    <row r="155" spans="1:16">
      <c r="L155" s="1"/>
    </row>
  </sheetData>
  <autoFilter ref="A1:P143">
    <sortState ref="A2:P95">
      <sortCondition ref="B1:B95"/>
    </sortState>
  </autoFilter>
  <pageMargins left="0.7" right="0.7" top="0.75" bottom="0.75" header="0.3" footer="0.3"/>
  <pageSetup paperSize="9" orientation="portrait" r:id="rId1"/>
</worksheet>
</file>

<file path=xl/worksheets/sheet96.xml><?xml version="1.0" encoding="utf-8"?>
<worksheet xmlns="http://schemas.openxmlformats.org/spreadsheetml/2006/main" xmlns:r="http://schemas.openxmlformats.org/officeDocument/2006/relationships">
  <dimension ref="A1:P156"/>
  <sheetViews>
    <sheetView topLeftCell="C141" workbookViewId="0">
      <selection activeCell="K153" sqref="K153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1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31</v>
      </c>
      <c r="B13" s="2"/>
      <c r="C13" s="4">
        <v>42735</v>
      </c>
      <c r="D13" s="4"/>
      <c r="E13" s="4">
        <v>42782</v>
      </c>
      <c r="F13" s="5">
        <v>50</v>
      </c>
      <c r="G13" s="49"/>
      <c r="H13" s="5">
        <v>20.63</v>
      </c>
      <c r="I13" s="102">
        <f>M13/30*46</f>
        <v>42.933333333333337</v>
      </c>
      <c r="J13" s="5"/>
      <c r="K13" s="5"/>
      <c r="L13" s="6">
        <v>92</v>
      </c>
      <c r="M13" s="61">
        <v>28</v>
      </c>
      <c r="N13" s="6">
        <f t="shared" si="0"/>
        <v>44.8</v>
      </c>
    </row>
    <row r="14" spans="1:15">
      <c r="A14" s="2" t="s">
        <v>32</v>
      </c>
      <c r="B14" s="2"/>
      <c r="C14" s="4">
        <v>42857</v>
      </c>
      <c r="D14" s="4"/>
      <c r="E14" s="4">
        <v>42866</v>
      </c>
      <c r="F14" s="5"/>
      <c r="G14" s="49"/>
      <c r="H14" s="5"/>
      <c r="I14" s="102">
        <f>23/30*9</f>
        <v>6.9</v>
      </c>
      <c r="J14" s="5">
        <f>60*0.7</f>
        <v>42</v>
      </c>
      <c r="K14" s="5"/>
      <c r="L14" s="6">
        <v>60</v>
      </c>
      <c r="M14" s="61">
        <v>23</v>
      </c>
      <c r="N14" s="6">
        <f t="shared" si="0"/>
        <v>25.9</v>
      </c>
    </row>
    <row r="15" spans="1:15">
      <c r="A15" s="2" t="s">
        <v>37</v>
      </c>
      <c r="B15" s="2"/>
      <c r="C15" s="4">
        <v>42891</v>
      </c>
      <c r="D15" s="4"/>
      <c r="E15" s="4">
        <v>42915</v>
      </c>
      <c r="F15" s="5"/>
      <c r="G15" s="49"/>
      <c r="H15" s="5">
        <v>6.83</v>
      </c>
      <c r="I15" s="102">
        <f>24/30*24</f>
        <v>19.200000000000003</v>
      </c>
      <c r="J15" s="5"/>
      <c r="K15" s="5"/>
      <c r="L15" s="6">
        <v>70</v>
      </c>
      <c r="M15" s="61">
        <v>24</v>
      </c>
      <c r="N15" s="6">
        <f t="shared" si="0"/>
        <v>32.199999999999996</v>
      </c>
    </row>
    <row r="16" spans="1:15">
      <c r="A16" s="2" t="s">
        <v>39</v>
      </c>
      <c r="B16" s="2"/>
      <c r="C16" s="4">
        <v>43081</v>
      </c>
      <c r="D16" s="4"/>
      <c r="E16" s="4">
        <v>43109</v>
      </c>
      <c r="F16" s="5"/>
      <c r="G16" s="49"/>
      <c r="H16" s="5">
        <v>9.83</v>
      </c>
      <c r="I16" s="102">
        <f>36/30*28</f>
        <v>33.6</v>
      </c>
      <c r="J16" s="5"/>
      <c r="K16" s="5"/>
      <c r="L16" s="6">
        <v>120</v>
      </c>
      <c r="M16" s="61">
        <v>36</v>
      </c>
      <c r="N16" s="6">
        <f t="shared" si="0"/>
        <v>58.8</v>
      </c>
    </row>
    <row r="17" spans="1:15">
      <c r="A17" s="22" t="s">
        <v>56</v>
      </c>
      <c r="B17" s="22"/>
      <c r="C17" s="4">
        <v>43361</v>
      </c>
      <c r="D17" s="4"/>
      <c r="E17" s="4">
        <v>43132</v>
      </c>
      <c r="F17" s="5"/>
      <c r="G17" s="49"/>
      <c r="H17" s="5">
        <v>14.11</v>
      </c>
      <c r="I17" s="102">
        <f>25*4+25/30*12</f>
        <v>110</v>
      </c>
      <c r="J17" s="5"/>
      <c r="K17" s="5"/>
      <c r="L17" s="6">
        <v>75</v>
      </c>
      <c r="M17" s="61">
        <v>25</v>
      </c>
      <c r="N17" s="6">
        <f t="shared" si="0"/>
        <v>35</v>
      </c>
    </row>
    <row r="18" spans="1:15">
      <c r="A18" s="2" t="s">
        <v>44</v>
      </c>
      <c r="B18" s="2"/>
      <c r="C18" s="4">
        <v>43196</v>
      </c>
      <c r="D18" s="4"/>
      <c r="E18" s="4">
        <v>43250</v>
      </c>
      <c r="F18" s="5"/>
      <c r="G18" s="49"/>
      <c r="H18" s="5">
        <v>13.78</v>
      </c>
      <c r="I18" s="102">
        <f>25*24/30+25</f>
        <v>45</v>
      </c>
      <c r="J18" s="5"/>
      <c r="K18" s="5"/>
      <c r="L18" s="6">
        <v>11</v>
      </c>
      <c r="M18" s="61">
        <v>25</v>
      </c>
      <c r="N18" s="6">
        <v>9.7999999999999989</v>
      </c>
    </row>
    <row r="19" spans="1:15">
      <c r="A19" s="22" t="s">
        <v>47</v>
      </c>
      <c r="B19" s="22"/>
      <c r="C19" s="4">
        <v>43355</v>
      </c>
      <c r="D19" s="4"/>
      <c r="E19" s="4">
        <v>43277</v>
      </c>
      <c r="F19" s="5"/>
      <c r="G19" s="49"/>
      <c r="H19" s="5">
        <v>19.98</v>
      </c>
      <c r="I19" s="102">
        <f>36*2+36/30*16</f>
        <v>91.2</v>
      </c>
      <c r="J19" s="5"/>
      <c r="K19" s="5"/>
      <c r="L19" s="6">
        <v>105</v>
      </c>
      <c r="M19" s="61">
        <v>36</v>
      </c>
      <c r="N19" s="6">
        <f t="shared" si="0"/>
        <v>48.3</v>
      </c>
    </row>
    <row r="20" spans="1:15">
      <c r="A20" s="22" t="s">
        <v>48</v>
      </c>
      <c r="B20" s="22"/>
      <c r="C20" s="4">
        <v>43367</v>
      </c>
      <c r="D20" s="4"/>
      <c r="E20" s="4">
        <v>43284</v>
      </c>
      <c r="F20" s="5"/>
      <c r="G20" s="49"/>
      <c r="H20" s="5">
        <v>9.1</v>
      </c>
      <c r="I20" s="102">
        <f>25+25/30*27</f>
        <v>47.5</v>
      </c>
      <c r="J20" s="5"/>
      <c r="K20" s="5"/>
      <c r="L20" s="6">
        <v>75</v>
      </c>
      <c r="M20" s="61">
        <v>25</v>
      </c>
      <c r="N20" s="6">
        <f t="shared" si="0"/>
        <v>35</v>
      </c>
    </row>
    <row r="21" spans="1:15">
      <c r="A21" s="2" t="s">
        <v>45</v>
      </c>
      <c r="B21" s="2"/>
      <c r="C21" s="4"/>
      <c r="D21" s="4"/>
      <c r="E21" s="4">
        <v>43286</v>
      </c>
      <c r="F21" s="5"/>
      <c r="G21" s="49"/>
      <c r="H21" s="5">
        <v>11.56</v>
      </c>
      <c r="I21" s="102"/>
      <c r="J21" s="5"/>
      <c r="K21" s="5"/>
      <c r="L21" s="6">
        <v>150</v>
      </c>
      <c r="M21" s="61">
        <v>76</v>
      </c>
      <c r="N21" s="6">
        <f t="shared" si="0"/>
        <v>51.8</v>
      </c>
      <c r="O21" s="20"/>
    </row>
    <row r="22" spans="1:15">
      <c r="A22" s="22" t="s">
        <v>49</v>
      </c>
      <c r="B22" s="22"/>
      <c r="C22" s="4">
        <v>43367</v>
      </c>
      <c r="D22" s="4"/>
      <c r="E22" s="4">
        <v>43291</v>
      </c>
      <c r="F22" s="5"/>
      <c r="G22" s="49"/>
      <c r="H22" s="5">
        <v>10.039999999999999</v>
      </c>
      <c r="I22" s="102">
        <f>50+25/30*14</f>
        <v>61.666666666666671</v>
      </c>
      <c r="J22" s="5"/>
      <c r="K22" s="5"/>
      <c r="L22" s="6">
        <v>50</v>
      </c>
      <c r="M22" s="61">
        <v>22</v>
      </c>
      <c r="N22" s="18">
        <f t="shared" si="0"/>
        <v>19.599999999999998</v>
      </c>
    </row>
    <row r="23" spans="1:15">
      <c r="A23" s="22" t="s">
        <v>51</v>
      </c>
      <c r="B23" s="22"/>
      <c r="C23" s="4">
        <v>43358</v>
      </c>
      <c r="D23" s="4"/>
      <c r="E23" s="4">
        <v>43291</v>
      </c>
      <c r="F23" s="5"/>
      <c r="G23" s="49"/>
      <c r="H23" s="5">
        <v>10.039999999999999</v>
      </c>
      <c r="I23" s="102">
        <f>50+25/30*5</f>
        <v>54.166666666666664</v>
      </c>
      <c r="J23" s="5"/>
      <c r="K23" s="5"/>
      <c r="L23" s="6">
        <v>75</v>
      </c>
      <c r="M23" s="61">
        <v>25</v>
      </c>
      <c r="N23" s="6">
        <f t="shared" si="0"/>
        <v>35</v>
      </c>
    </row>
    <row r="24" spans="1:15">
      <c r="A24" s="22" t="s">
        <v>52</v>
      </c>
      <c r="B24" s="22"/>
      <c r="C24" s="4">
        <v>43367</v>
      </c>
      <c r="D24" s="4"/>
      <c r="E24" s="4">
        <v>43308</v>
      </c>
      <c r="F24" s="5"/>
      <c r="G24" s="49"/>
      <c r="H24" s="5">
        <v>10.86</v>
      </c>
      <c r="I24" s="102">
        <f>25+25/30*27</f>
        <v>47.5</v>
      </c>
      <c r="J24" s="5"/>
      <c r="K24" s="5"/>
      <c r="L24" s="6">
        <v>75</v>
      </c>
      <c r="M24" s="61">
        <v>25</v>
      </c>
      <c r="N24" s="27">
        <f t="shared" si="0"/>
        <v>35</v>
      </c>
    </row>
    <row r="25" spans="1:15">
      <c r="A25" s="22" t="s">
        <v>50</v>
      </c>
      <c r="B25" s="22"/>
      <c r="C25" s="4">
        <v>43367</v>
      </c>
      <c r="D25" s="4"/>
      <c r="E25" s="4">
        <v>43312</v>
      </c>
      <c r="F25" s="5"/>
      <c r="G25" s="49"/>
      <c r="H25" s="5">
        <v>10.86</v>
      </c>
      <c r="I25" s="102">
        <f>25+25/30*24</f>
        <v>45</v>
      </c>
      <c r="J25" s="5"/>
      <c r="K25" s="5"/>
      <c r="L25" s="6">
        <v>70</v>
      </c>
      <c r="M25" s="61">
        <v>25</v>
      </c>
      <c r="N25" s="6">
        <f t="shared" si="0"/>
        <v>31.499999999999996</v>
      </c>
    </row>
    <row r="26" spans="1:15">
      <c r="A26" s="22" t="s">
        <v>55</v>
      </c>
      <c r="B26" s="22"/>
      <c r="C26" s="4">
        <v>43363</v>
      </c>
      <c r="D26" s="4"/>
      <c r="E26" s="4">
        <v>43440</v>
      </c>
      <c r="F26" s="5"/>
      <c r="G26" s="49"/>
      <c r="H26" s="5">
        <v>14.11</v>
      </c>
      <c r="I26" s="102">
        <f>25*2+25*16/30</f>
        <v>63.333333333333336</v>
      </c>
      <c r="J26" s="5"/>
      <c r="K26" s="5"/>
      <c r="L26" s="6">
        <v>75</v>
      </c>
      <c r="M26" s="61">
        <v>25</v>
      </c>
      <c r="N26" s="6">
        <f t="shared" si="0"/>
        <v>35</v>
      </c>
    </row>
    <row r="27" spans="1:15">
      <c r="A27" s="22" t="s">
        <v>54</v>
      </c>
      <c r="B27" s="22"/>
      <c r="C27" s="4">
        <v>43167</v>
      </c>
      <c r="D27" s="4"/>
      <c r="E27" s="4">
        <v>43455</v>
      </c>
      <c r="F27" s="5"/>
      <c r="G27" s="49"/>
      <c r="H27" s="5">
        <v>10.86</v>
      </c>
      <c r="I27" s="102">
        <f>9*25+25*13/30</f>
        <v>235.83333333333334</v>
      </c>
      <c r="J27" s="5"/>
      <c r="K27" s="5"/>
      <c r="L27" s="6">
        <v>90</v>
      </c>
      <c r="M27" s="61">
        <v>36</v>
      </c>
      <c r="N27" s="6">
        <f t="shared" si="0"/>
        <v>37.799999999999997</v>
      </c>
    </row>
    <row r="28" spans="1:15">
      <c r="A28" s="22" t="s">
        <v>57</v>
      </c>
      <c r="B28" s="55"/>
      <c r="C28" s="31">
        <v>43478</v>
      </c>
      <c r="D28" s="31"/>
      <c r="E28" s="4">
        <v>43536</v>
      </c>
      <c r="F28" s="5"/>
      <c r="G28" s="49"/>
      <c r="H28" s="5">
        <v>10.86</v>
      </c>
      <c r="I28" s="102">
        <v>25</v>
      </c>
      <c r="J28" s="5"/>
      <c r="K28" s="5"/>
      <c r="L28" s="6">
        <v>70</v>
      </c>
      <c r="M28" s="61">
        <v>25</v>
      </c>
      <c r="N28" s="6">
        <f t="shared" si="0"/>
        <v>31.499999999999996</v>
      </c>
    </row>
    <row r="29" spans="1:15">
      <c r="A29" s="22" t="s">
        <v>59</v>
      </c>
      <c r="B29" s="22"/>
      <c r="C29" s="4">
        <v>43528</v>
      </c>
      <c r="D29" s="4"/>
      <c r="E29" s="4">
        <v>43538</v>
      </c>
      <c r="F29" s="5"/>
      <c r="G29" s="49"/>
      <c r="H29" s="5">
        <v>14.92</v>
      </c>
      <c r="I29" s="102">
        <f>77/30*10</f>
        <v>25.666666666666668</v>
      </c>
      <c r="J29" s="5"/>
      <c r="K29" s="5"/>
      <c r="L29" s="6">
        <v>169</v>
      </c>
      <c r="M29" s="61">
        <f>64+11+2</f>
        <v>77</v>
      </c>
      <c r="N29" s="6">
        <f t="shared" si="0"/>
        <v>64.399999999999991</v>
      </c>
    </row>
    <row r="30" spans="1:15">
      <c r="A30" s="22" t="s">
        <v>58</v>
      </c>
      <c r="B30" s="22"/>
      <c r="C30" s="4">
        <v>43534</v>
      </c>
      <c r="D30" s="4"/>
      <c r="E30" s="4">
        <v>43542</v>
      </c>
      <c r="F30" s="5"/>
      <c r="G30" s="49"/>
      <c r="H30" s="5">
        <f>10.86*2</f>
        <v>21.72</v>
      </c>
      <c r="I30" s="102">
        <v>0</v>
      </c>
      <c r="J30" s="5"/>
      <c r="K30" s="5"/>
      <c r="L30" s="6">
        <v>30</v>
      </c>
      <c r="M30" s="61">
        <v>22</v>
      </c>
      <c r="N30" s="6">
        <v>18.899999999999999</v>
      </c>
    </row>
    <row r="31" spans="1:15">
      <c r="A31" s="22" t="s">
        <v>61</v>
      </c>
      <c r="B31" s="22"/>
      <c r="C31" s="4">
        <v>43482</v>
      </c>
      <c r="D31" s="4"/>
      <c r="E31" s="4">
        <v>43542</v>
      </c>
      <c r="F31" s="5"/>
      <c r="G31" s="49"/>
      <c r="H31" s="5">
        <v>11.1</v>
      </c>
      <c r="I31" s="102">
        <f>25*2</f>
        <v>50</v>
      </c>
      <c r="J31" s="5"/>
      <c r="K31" s="5"/>
      <c r="L31" s="6">
        <v>70</v>
      </c>
      <c r="M31" s="61">
        <v>26</v>
      </c>
      <c r="N31" s="6">
        <f t="shared" si="0"/>
        <v>30.799999999999997</v>
      </c>
    </row>
    <row r="32" spans="1:15">
      <c r="A32" s="22" t="s">
        <v>67</v>
      </c>
      <c r="B32" s="22"/>
      <c r="C32" s="4">
        <v>43600</v>
      </c>
      <c r="D32" s="4"/>
      <c r="E32" s="4">
        <v>43629</v>
      </c>
      <c r="F32" s="5"/>
      <c r="G32" s="49"/>
      <c r="H32" s="5">
        <f>10.86*2</f>
        <v>21.72</v>
      </c>
      <c r="I32" s="102">
        <f>22/30*58</f>
        <v>42.533333333333331</v>
      </c>
      <c r="J32" s="5">
        <v>50</v>
      </c>
      <c r="K32" s="5">
        <f>H32+I32+J32</f>
        <v>114.25333333333333</v>
      </c>
      <c r="L32" s="6">
        <v>60</v>
      </c>
      <c r="M32" s="61">
        <v>25</v>
      </c>
      <c r="N32" s="6">
        <v>0</v>
      </c>
    </row>
    <row r="33" spans="1:16">
      <c r="A33" s="22" t="s">
        <v>66</v>
      </c>
      <c r="B33" s="22"/>
      <c r="C33" s="4">
        <v>43600</v>
      </c>
      <c r="D33" s="4"/>
      <c r="E33" s="4">
        <v>43629</v>
      </c>
      <c r="F33" s="5"/>
      <c r="G33" s="49"/>
      <c r="H33" s="5">
        <f>10.86</f>
        <v>10.86</v>
      </c>
      <c r="I33" s="102">
        <f>39/30*58</f>
        <v>75.400000000000006</v>
      </c>
      <c r="J33" s="5"/>
      <c r="K33" s="5">
        <f>H33+I33</f>
        <v>86.26</v>
      </c>
      <c r="L33" s="6">
        <v>110</v>
      </c>
      <c r="M33" s="61">
        <f>25+11+3</f>
        <v>39</v>
      </c>
      <c r="N33" s="6">
        <v>0</v>
      </c>
      <c r="O33" t="s">
        <v>73</v>
      </c>
    </row>
    <row r="34" spans="1:16">
      <c r="A34" s="22" t="s">
        <v>64</v>
      </c>
      <c r="B34" s="22"/>
      <c r="C34" s="4">
        <v>43627</v>
      </c>
      <c r="D34" s="4"/>
      <c r="E34" s="4">
        <v>43629</v>
      </c>
      <c r="F34" s="5"/>
      <c r="G34" s="49"/>
      <c r="H34" s="5">
        <v>10.86</v>
      </c>
      <c r="I34" s="102">
        <f>25/30*2</f>
        <v>1.6666666666666667</v>
      </c>
      <c r="J34" s="5"/>
      <c r="K34" s="5">
        <f>H34+I34</f>
        <v>12.526666666666666</v>
      </c>
      <c r="L34" s="6">
        <v>200</v>
      </c>
      <c r="M34" s="61">
        <v>11</v>
      </c>
      <c r="N34" s="5">
        <f t="shared" ref="N34:N45" si="1">(L34-M34)*0.7</f>
        <v>132.29999999999998</v>
      </c>
    </row>
    <row r="35" spans="1:16">
      <c r="A35" s="22" t="s">
        <v>65</v>
      </c>
      <c r="B35" s="22"/>
      <c r="C35" s="4">
        <v>43622</v>
      </c>
      <c r="D35" s="4"/>
      <c r="E35" s="4">
        <v>43650</v>
      </c>
      <c r="F35" s="5"/>
      <c r="G35" s="49"/>
      <c r="H35" s="5">
        <v>10.86</v>
      </c>
      <c r="I35" s="102"/>
      <c r="J35" s="5"/>
      <c r="K35" s="5"/>
      <c r="L35" s="6">
        <v>120</v>
      </c>
      <c r="M35" s="61">
        <v>60</v>
      </c>
      <c r="N35" s="6">
        <f t="shared" si="1"/>
        <v>42</v>
      </c>
    </row>
    <row r="36" spans="1:16">
      <c r="A36" s="22" t="s">
        <v>71</v>
      </c>
      <c r="B36" s="22"/>
      <c r="C36" s="4">
        <v>43635</v>
      </c>
      <c r="D36" s="4"/>
      <c r="E36" s="4">
        <v>43662</v>
      </c>
      <c r="F36" s="5"/>
      <c r="G36" s="49"/>
      <c r="H36" s="5">
        <f>10.86*2</f>
        <v>21.72</v>
      </c>
      <c r="I36" s="102"/>
      <c r="J36" s="5"/>
      <c r="K36" s="5"/>
      <c r="L36" s="6">
        <v>70</v>
      </c>
      <c r="M36" s="61">
        <v>26</v>
      </c>
      <c r="N36" s="6">
        <f t="shared" si="1"/>
        <v>30.799999999999997</v>
      </c>
      <c r="O36" t="s">
        <v>72</v>
      </c>
    </row>
    <row r="37" spans="1:16">
      <c r="A37" s="2" t="s">
        <v>75</v>
      </c>
      <c r="B37" s="2"/>
      <c r="C37" s="4">
        <v>43656</v>
      </c>
      <c r="D37" s="4"/>
      <c r="E37" s="4">
        <v>43711</v>
      </c>
      <c r="F37" s="5"/>
      <c r="G37" s="49"/>
      <c r="H37" s="5">
        <v>10.86</v>
      </c>
      <c r="I37" s="102">
        <f>36/30*48</f>
        <v>57.599999999999994</v>
      </c>
      <c r="J37" s="5"/>
      <c r="K37" s="5"/>
      <c r="L37" s="6">
        <v>105</v>
      </c>
      <c r="M37" s="61">
        <v>36</v>
      </c>
      <c r="N37" s="6">
        <f t="shared" si="1"/>
        <v>48.3</v>
      </c>
    </row>
    <row r="38" spans="1:16">
      <c r="A38" s="2" t="s">
        <v>76</v>
      </c>
      <c r="B38" s="2"/>
      <c r="C38" s="4">
        <v>43677</v>
      </c>
      <c r="D38" s="4"/>
      <c r="E38" s="4">
        <v>43713</v>
      </c>
      <c r="F38" s="5"/>
      <c r="G38" s="49"/>
      <c r="H38" s="5">
        <v>24.06</v>
      </c>
      <c r="I38" s="102">
        <f>80/30*35</f>
        <v>93.333333333333329</v>
      </c>
      <c r="J38" s="5">
        <v>40</v>
      </c>
      <c r="K38" s="5"/>
      <c r="L38" s="6">
        <v>149</v>
      </c>
      <c r="M38" s="61">
        <v>80</v>
      </c>
      <c r="N38" s="6">
        <f t="shared" si="1"/>
        <v>48.3</v>
      </c>
      <c r="O38" t="s">
        <v>79</v>
      </c>
    </row>
    <row r="39" spans="1:16">
      <c r="A39" s="10" t="s">
        <v>81</v>
      </c>
      <c r="B39" s="10"/>
      <c r="C39" s="11">
        <v>45444</v>
      </c>
      <c r="D39" s="11"/>
      <c r="E39" s="11">
        <v>45408</v>
      </c>
      <c r="F39" s="12"/>
      <c r="G39" s="12"/>
      <c r="H39" s="12"/>
      <c r="I39" s="106">
        <f>43/30*34</f>
        <v>48.733333333333334</v>
      </c>
      <c r="J39" s="12"/>
      <c r="K39" s="12"/>
      <c r="L39" s="12">
        <v>129</v>
      </c>
      <c r="M39" s="107">
        <v>61</v>
      </c>
      <c r="N39" s="12">
        <f t="shared" si="1"/>
        <v>47.599999999999994</v>
      </c>
    </row>
    <row r="40" spans="1:16">
      <c r="A40" s="22" t="s">
        <v>87</v>
      </c>
      <c r="B40" s="22"/>
      <c r="C40" s="35">
        <v>43878</v>
      </c>
      <c r="D40" s="35"/>
      <c r="E40" s="35">
        <v>43892</v>
      </c>
      <c r="F40" s="5"/>
      <c r="G40" s="49"/>
      <c r="H40" s="5">
        <v>12.19</v>
      </c>
      <c r="I40" s="102">
        <v>5.5</v>
      </c>
      <c r="J40" s="5"/>
      <c r="K40" s="5"/>
      <c r="L40" s="6">
        <v>25</v>
      </c>
      <c r="M40" s="61">
        <v>11</v>
      </c>
      <c r="N40" s="6">
        <f t="shared" si="1"/>
        <v>9.7999999999999989</v>
      </c>
    </row>
    <row r="41" spans="1:16">
      <c r="A41" s="22" t="s">
        <v>89</v>
      </c>
      <c r="B41" s="22"/>
      <c r="C41" s="35">
        <v>43908</v>
      </c>
      <c r="D41" s="35"/>
      <c r="E41" s="35">
        <v>43893</v>
      </c>
      <c r="F41" s="5"/>
      <c r="G41" s="49"/>
      <c r="H41" s="5">
        <v>9.6</v>
      </c>
      <c r="I41" s="102"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22" t="s">
        <v>85</v>
      </c>
      <c r="B42" s="22"/>
      <c r="C42" s="35">
        <v>43881</v>
      </c>
      <c r="D42" s="35"/>
      <c r="E42" s="35">
        <v>43895</v>
      </c>
      <c r="F42" s="5"/>
      <c r="G42" s="49"/>
      <c r="H42" s="5">
        <v>9.14</v>
      </c>
      <c r="I42" s="102">
        <f>11/30*15</f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6">
      <c r="A43" s="39" t="s">
        <v>82</v>
      </c>
      <c r="B43" s="28"/>
      <c r="C43" s="36">
        <v>40235</v>
      </c>
      <c r="D43" s="36"/>
      <c r="E43" s="36">
        <v>43901</v>
      </c>
      <c r="F43" s="5"/>
      <c r="G43" s="34"/>
      <c r="H43" s="37">
        <v>9.6</v>
      </c>
      <c r="I43" s="102">
        <f>11/2</f>
        <v>5.5</v>
      </c>
      <c r="J43" s="5"/>
      <c r="K43" s="5"/>
      <c r="L43" s="17">
        <v>25</v>
      </c>
      <c r="M43" s="63">
        <v>11</v>
      </c>
      <c r="N43" s="26">
        <f t="shared" si="1"/>
        <v>9.7999999999999989</v>
      </c>
    </row>
    <row r="44" spans="1:16">
      <c r="A44" s="22" t="s">
        <v>80</v>
      </c>
      <c r="B44" s="22"/>
      <c r="C44" s="35">
        <v>43873</v>
      </c>
      <c r="D44" s="35"/>
      <c r="E44" s="35">
        <v>43910</v>
      </c>
      <c r="F44" s="5"/>
      <c r="G44" s="49"/>
      <c r="H44" s="5">
        <v>21.84</v>
      </c>
      <c r="I44" s="102">
        <f>56/30*38</f>
        <v>70.933333333333337</v>
      </c>
      <c r="J44" s="5"/>
      <c r="K44" s="5"/>
      <c r="L44" s="6">
        <v>120</v>
      </c>
      <c r="M44" s="61">
        <v>56</v>
      </c>
      <c r="N44" s="6">
        <f t="shared" si="1"/>
        <v>44.8</v>
      </c>
    </row>
    <row r="45" spans="1:16">
      <c r="A45" s="22" t="s">
        <v>88</v>
      </c>
      <c r="B45" s="22"/>
      <c r="C45" s="35">
        <v>43855</v>
      </c>
      <c r="D45" s="35"/>
      <c r="E45" s="35">
        <v>43941</v>
      </c>
      <c r="F45" s="5"/>
      <c r="G45" s="49"/>
      <c r="H45" s="5">
        <v>13.93</v>
      </c>
      <c r="I45" s="102">
        <f>56/30*85</f>
        <v>158.66666666666666</v>
      </c>
      <c r="J45" s="5"/>
      <c r="K45" s="5"/>
      <c r="L45" s="6">
        <v>110</v>
      </c>
      <c r="M45" s="61">
        <v>56</v>
      </c>
      <c r="N45" s="6">
        <f t="shared" si="1"/>
        <v>37.799999999999997</v>
      </c>
    </row>
    <row r="46" spans="1:16">
      <c r="A46" s="22" t="s">
        <v>90</v>
      </c>
      <c r="B46" s="22"/>
      <c r="C46" s="35" t="s">
        <v>96</v>
      </c>
      <c r="D46" s="35"/>
      <c r="E46" s="35">
        <v>44015</v>
      </c>
      <c r="F46" s="5" t="s">
        <v>160</v>
      </c>
      <c r="G46" s="49">
        <v>12.5</v>
      </c>
      <c r="H46" s="5">
        <v>11.29</v>
      </c>
      <c r="I46" s="102">
        <f>100</f>
        <v>100</v>
      </c>
      <c r="J46" s="5"/>
      <c r="K46" s="5"/>
      <c r="L46" s="6">
        <v>105</v>
      </c>
      <c r="M46" s="61">
        <f>25+11+22</f>
        <v>58</v>
      </c>
      <c r="N46" s="6">
        <f>12.5+(92.5-M46)*0.7</f>
        <v>36.65</v>
      </c>
      <c r="P46" s="41"/>
    </row>
    <row r="47" spans="1:16">
      <c r="A47" s="22" t="s">
        <v>97</v>
      </c>
      <c r="B47" s="22"/>
      <c r="C47" s="35">
        <v>43990</v>
      </c>
      <c r="D47" s="35"/>
      <c r="E47" s="35">
        <v>44036</v>
      </c>
      <c r="F47" s="5"/>
      <c r="G47" s="49"/>
      <c r="H47" s="5">
        <v>8.75</v>
      </c>
      <c r="I47" s="102">
        <f>56/30*46</f>
        <v>85.866666666666674</v>
      </c>
      <c r="J47" s="5"/>
      <c r="K47" s="5"/>
      <c r="L47" s="6">
        <v>110</v>
      </c>
      <c r="M47" s="61">
        <f>45+11</f>
        <v>56</v>
      </c>
      <c r="N47" s="6">
        <f>(L47-M47)*0.7</f>
        <v>37.799999999999997</v>
      </c>
    </row>
    <row r="48" spans="1:16">
      <c r="A48" s="22" t="s">
        <v>95</v>
      </c>
      <c r="B48" s="22"/>
      <c r="C48" s="35">
        <v>44028</v>
      </c>
      <c r="D48" s="35"/>
      <c r="E48" s="35">
        <v>44040</v>
      </c>
      <c r="F48" s="5"/>
      <c r="G48" s="49"/>
      <c r="H48" s="5">
        <v>8.75</v>
      </c>
      <c r="I48" s="102">
        <f>41/30*12</f>
        <v>16.399999999999999</v>
      </c>
      <c r="J48" s="5"/>
      <c r="K48" s="5"/>
      <c r="L48" s="6">
        <v>60</v>
      </c>
      <c r="M48" s="61">
        <v>41</v>
      </c>
      <c r="N48" s="6">
        <f>(L48-M48)*0.7</f>
        <v>13.299999999999999</v>
      </c>
    </row>
    <row r="49" spans="1:16">
      <c r="A49" s="22" t="s">
        <v>94</v>
      </c>
      <c r="B49" s="22"/>
      <c r="C49" s="35">
        <v>44011</v>
      </c>
      <c r="D49" s="35"/>
      <c r="E49" s="35">
        <v>44084</v>
      </c>
      <c r="F49" s="5"/>
      <c r="G49" s="49"/>
      <c r="H49" s="5">
        <v>11.29</v>
      </c>
      <c r="I49" s="102">
        <f>25/30*71</f>
        <v>59.166666666666671</v>
      </c>
      <c r="J49" s="5"/>
      <c r="K49" s="5"/>
      <c r="L49" s="6">
        <v>40</v>
      </c>
      <c r="M49" s="61">
        <v>25</v>
      </c>
      <c r="N49" s="6">
        <f>(L49-M49)*0.7</f>
        <v>10.5</v>
      </c>
    </row>
    <row r="50" spans="1:16">
      <c r="A50" s="2" t="s">
        <v>99</v>
      </c>
      <c r="B50" s="2"/>
      <c r="C50" s="35">
        <v>44084</v>
      </c>
      <c r="D50" s="35"/>
      <c r="E50" s="35">
        <v>44105</v>
      </c>
      <c r="F50" s="5" t="s">
        <v>160</v>
      </c>
      <c r="G50" s="49">
        <v>5</v>
      </c>
      <c r="H50" s="5">
        <v>12.24</v>
      </c>
      <c r="I50" s="102">
        <f>25/30*20</f>
        <v>16.666666666666668</v>
      </c>
      <c r="J50" s="5"/>
      <c r="K50" s="5"/>
      <c r="L50" s="43">
        <v>40</v>
      </c>
      <c r="M50" s="61">
        <v>22</v>
      </c>
      <c r="N50" s="6">
        <f>5+13*0.7</f>
        <v>14.1</v>
      </c>
      <c r="P50" s="41"/>
    </row>
    <row r="51" spans="1:16">
      <c r="A51" s="2" t="s">
        <v>102</v>
      </c>
      <c r="B51" s="2"/>
      <c r="C51" s="4" t="s">
        <v>103</v>
      </c>
      <c r="D51" s="4"/>
      <c r="E51" s="4">
        <v>44110</v>
      </c>
      <c r="F51" s="5" t="s">
        <v>160</v>
      </c>
      <c r="G51" s="49">
        <v>10</v>
      </c>
      <c r="H51" s="5">
        <v>36.65</v>
      </c>
      <c r="I51" s="102">
        <f>115/30*26</f>
        <v>99.666666666666671</v>
      </c>
      <c r="J51" s="5"/>
      <c r="K51" s="5"/>
      <c r="L51" s="6">
        <v>180</v>
      </c>
      <c r="M51" s="61">
        <v>115</v>
      </c>
      <c r="N51" s="6">
        <f>10+55*0.7</f>
        <v>48.5</v>
      </c>
      <c r="P51" s="41"/>
    </row>
    <row r="52" spans="1:16">
      <c r="A52" s="2" t="s">
        <v>94</v>
      </c>
      <c r="B52" s="2"/>
      <c r="C52" s="35">
        <v>44124</v>
      </c>
      <c r="D52" s="35"/>
      <c r="E52" s="35">
        <v>44124</v>
      </c>
      <c r="F52" s="5"/>
      <c r="G52" s="49"/>
      <c r="H52" s="5">
        <v>7.25</v>
      </c>
      <c r="I52" s="102">
        <v>0</v>
      </c>
      <c r="J52" s="5"/>
      <c r="K52" s="5"/>
      <c r="L52" s="6">
        <v>25</v>
      </c>
      <c r="M52" s="61">
        <v>11</v>
      </c>
      <c r="N52" s="6">
        <f>(L52-M52)*0.7</f>
        <v>9.7999999999999989</v>
      </c>
    </row>
    <row r="53" spans="1:16">
      <c r="A53" s="2" t="s">
        <v>100</v>
      </c>
      <c r="B53" s="2"/>
      <c r="C53" s="4">
        <v>44018</v>
      </c>
      <c r="D53" s="4"/>
      <c r="E53" s="4">
        <v>44124</v>
      </c>
      <c r="F53" s="40"/>
      <c r="G53" s="2"/>
      <c r="H53" s="5">
        <v>9.5</v>
      </c>
      <c r="I53" s="102">
        <f>25/30*104</f>
        <v>86.666666666666671</v>
      </c>
      <c r="J53" s="5"/>
      <c r="K53" s="5"/>
      <c r="L53" s="6">
        <v>70</v>
      </c>
      <c r="M53" s="61">
        <v>25</v>
      </c>
      <c r="N53" s="6">
        <f>(L53-M53)*0.7</f>
        <v>31.499999999999996</v>
      </c>
    </row>
    <row r="54" spans="1:16">
      <c r="A54" s="2" t="s">
        <v>101</v>
      </c>
      <c r="B54" s="2"/>
      <c r="C54" s="4">
        <v>44070</v>
      </c>
      <c r="D54" s="4"/>
      <c r="E54" s="4">
        <v>44131</v>
      </c>
      <c r="F54" s="40"/>
      <c r="G54" s="2"/>
      <c r="H54" s="5">
        <v>13.93</v>
      </c>
      <c r="I54" s="102">
        <f>71/30*60</f>
        <v>142</v>
      </c>
      <c r="J54" s="5"/>
      <c r="K54" s="5"/>
      <c r="L54" s="6">
        <v>120</v>
      </c>
      <c r="M54" s="61">
        <f>60+11</f>
        <v>71</v>
      </c>
      <c r="N54" s="6">
        <f>(L54-M54)*0.7</f>
        <v>34.299999999999997</v>
      </c>
    </row>
    <row r="55" spans="1:16">
      <c r="A55" s="22" t="s">
        <v>104</v>
      </c>
      <c r="B55" s="22"/>
      <c r="C55" s="4">
        <v>44159</v>
      </c>
      <c r="D55" s="4"/>
      <c r="E55" s="4">
        <v>44187</v>
      </c>
      <c r="F55" s="40"/>
      <c r="G55" s="2"/>
      <c r="H55" s="5">
        <v>13.93</v>
      </c>
      <c r="I55" s="102">
        <f>36/30*28</f>
        <v>33.6</v>
      </c>
      <c r="J55" s="5"/>
      <c r="K55" s="5"/>
      <c r="L55" s="6">
        <v>110</v>
      </c>
      <c r="M55" s="61">
        <f>25+11</f>
        <v>36</v>
      </c>
      <c r="N55" s="6">
        <f>(L55-M55)*0.7</f>
        <v>51.8</v>
      </c>
    </row>
    <row r="56" spans="1:16">
      <c r="A56" s="22" t="s">
        <v>120</v>
      </c>
      <c r="B56" s="22"/>
      <c r="C56" s="4">
        <v>44169</v>
      </c>
      <c r="D56" s="4"/>
      <c r="E56" s="4">
        <v>44208</v>
      </c>
      <c r="F56" s="5" t="s">
        <v>160</v>
      </c>
      <c r="G56" s="49">
        <v>10</v>
      </c>
      <c r="H56" s="5"/>
      <c r="I56" s="102">
        <f>41/30*38</f>
        <v>51.933333333333337</v>
      </c>
      <c r="J56" s="5"/>
      <c r="K56" s="5"/>
      <c r="L56" s="6">
        <v>70</v>
      </c>
      <c r="M56" s="61">
        <v>45</v>
      </c>
      <c r="N56" s="5">
        <f>10+(60-45)*0.7</f>
        <v>20.5</v>
      </c>
      <c r="O56" s="1" t="s">
        <v>145</v>
      </c>
    </row>
    <row r="57" spans="1:16">
      <c r="A57" s="22" t="s">
        <v>108</v>
      </c>
      <c r="B57" s="22"/>
      <c r="C57" s="4">
        <v>44185</v>
      </c>
      <c r="D57" s="4"/>
      <c r="E57" s="4">
        <v>44242</v>
      </c>
      <c r="F57" s="5" t="s">
        <v>160</v>
      </c>
      <c r="G57" s="49">
        <v>20</v>
      </c>
      <c r="H57" s="5">
        <v>26.48</v>
      </c>
      <c r="I57" s="102">
        <f>50/30*55</f>
        <v>91.666666666666671</v>
      </c>
      <c r="J57" s="5">
        <v>160</v>
      </c>
      <c r="K57" s="5"/>
      <c r="L57" s="6">
        <v>130</v>
      </c>
      <c r="M57" s="61">
        <v>34</v>
      </c>
      <c r="N57" s="5">
        <f>(20+(110-34)*0.7)</f>
        <v>73.199999999999989</v>
      </c>
      <c r="O57" s="1" t="s">
        <v>145</v>
      </c>
    </row>
    <row r="58" spans="1:16">
      <c r="A58" s="22" t="s">
        <v>109</v>
      </c>
      <c r="B58" s="22"/>
      <c r="C58" s="4">
        <v>44209</v>
      </c>
      <c r="D58" s="4"/>
      <c r="E58" s="4">
        <v>44250</v>
      </c>
      <c r="F58" s="5" t="s">
        <v>160</v>
      </c>
      <c r="G58" s="49">
        <v>22.5</v>
      </c>
      <c r="H58" s="5">
        <v>22.83</v>
      </c>
      <c r="I58" s="102">
        <f>100/30*40</f>
        <v>133.33333333333334</v>
      </c>
      <c r="J58" s="5">
        <v>125</v>
      </c>
      <c r="K58" s="5"/>
      <c r="L58" s="6">
        <v>210</v>
      </c>
      <c r="M58" s="61">
        <v>100</v>
      </c>
      <c r="N58" s="6">
        <f>(22.5+87.5*0.7)</f>
        <v>83.75</v>
      </c>
    </row>
    <row r="59" spans="1:16">
      <c r="A59" s="2" t="s">
        <v>113</v>
      </c>
      <c r="B59" s="2"/>
      <c r="C59" s="4">
        <v>44245</v>
      </c>
      <c r="D59" s="4"/>
      <c r="E59" s="4">
        <v>44271</v>
      </c>
      <c r="F59" s="5" t="s">
        <v>160</v>
      </c>
      <c r="G59" s="49">
        <v>15</v>
      </c>
      <c r="H59" s="5">
        <v>26.76</v>
      </c>
      <c r="I59" s="102">
        <f>67/30*28</f>
        <v>62.533333333333331</v>
      </c>
      <c r="J59" s="5"/>
      <c r="K59" s="5"/>
      <c r="L59" s="6">
        <v>140</v>
      </c>
      <c r="M59" s="61">
        <v>67</v>
      </c>
      <c r="N59" s="6">
        <f>(15+0.7*58)</f>
        <v>55.599999999999994</v>
      </c>
    </row>
    <row r="60" spans="1:16">
      <c r="A60" s="2" t="s">
        <v>112</v>
      </c>
      <c r="B60" s="2"/>
      <c r="C60" s="4">
        <v>44270</v>
      </c>
      <c r="D60" s="4"/>
      <c r="E60" s="4">
        <v>44286</v>
      </c>
      <c r="F60" s="5" t="s">
        <v>160</v>
      </c>
      <c r="G60" s="49">
        <v>17.5</v>
      </c>
      <c r="H60" s="5">
        <v>31.96</v>
      </c>
      <c r="I60" s="102">
        <f>55/30*16</f>
        <v>29.333333333333332</v>
      </c>
      <c r="J60" s="5">
        <v>75</v>
      </c>
      <c r="K60" s="5"/>
      <c r="L60" s="6">
        <v>100</v>
      </c>
      <c r="M60" s="61">
        <v>55</v>
      </c>
      <c r="N60" s="6">
        <f>(17.5+27.5*0.7)</f>
        <v>36.75</v>
      </c>
    </row>
    <row r="61" spans="1:16">
      <c r="A61" s="22" t="s">
        <v>121</v>
      </c>
      <c r="B61" s="22"/>
      <c r="C61" s="4">
        <v>44316</v>
      </c>
      <c r="D61" s="4"/>
      <c r="E61" s="4">
        <v>44354</v>
      </c>
      <c r="F61" s="40"/>
      <c r="G61" s="2"/>
      <c r="H61" s="5">
        <v>15.15</v>
      </c>
      <c r="I61" s="102">
        <f>36/30*37</f>
        <v>44.4</v>
      </c>
      <c r="J61" s="5"/>
      <c r="K61" s="5"/>
      <c r="L61" s="6">
        <v>110</v>
      </c>
      <c r="M61" s="61">
        <v>36</v>
      </c>
      <c r="N61" s="5">
        <f>(L61-M61)*0.7</f>
        <v>51.8</v>
      </c>
      <c r="O61" s="1" t="s">
        <v>145</v>
      </c>
    </row>
    <row r="62" spans="1:16">
      <c r="A62" s="22" t="s">
        <v>126</v>
      </c>
      <c r="B62" s="22"/>
      <c r="C62" s="4">
        <v>44336</v>
      </c>
      <c r="D62" s="4"/>
      <c r="E62" s="4">
        <v>44370</v>
      </c>
      <c r="F62" s="5" t="s">
        <v>161</v>
      </c>
      <c r="G62" s="49">
        <v>17.5</v>
      </c>
      <c r="H62" s="5">
        <v>35.78</v>
      </c>
      <c r="I62" s="102">
        <f>58/30*33</f>
        <v>63.8</v>
      </c>
      <c r="J62" s="5">
        <v>50</v>
      </c>
      <c r="K62" s="5"/>
      <c r="L62" s="6">
        <v>150</v>
      </c>
      <c r="M62" s="61">
        <v>58</v>
      </c>
      <c r="N62" s="6">
        <f>(17.5+74.5*0.7)</f>
        <v>69.650000000000006</v>
      </c>
    </row>
    <row r="63" spans="1:16">
      <c r="A63" s="44" t="s">
        <v>125</v>
      </c>
      <c r="B63" s="44"/>
      <c r="C63" s="4">
        <v>44342</v>
      </c>
      <c r="D63" s="4"/>
      <c r="E63" s="4">
        <v>44386</v>
      </c>
      <c r="F63" s="5" t="s">
        <v>160</v>
      </c>
      <c r="G63" s="49">
        <v>12.5</v>
      </c>
      <c r="H63" s="5">
        <v>15.46</v>
      </c>
      <c r="I63" s="102">
        <f>36/30*43</f>
        <v>51.6</v>
      </c>
      <c r="J63" s="5">
        <f>50+45</f>
        <v>95</v>
      </c>
      <c r="K63" s="5"/>
      <c r="L63" s="6">
        <v>80</v>
      </c>
      <c r="M63" s="61">
        <v>33</v>
      </c>
      <c r="N63" s="6">
        <f>12.5+(L63-M63-12.5)*0.7</f>
        <v>36.65</v>
      </c>
    </row>
    <row r="64" spans="1:16">
      <c r="A64" s="44" t="s">
        <v>129</v>
      </c>
      <c r="B64" s="44"/>
      <c r="C64" s="4">
        <v>44348</v>
      </c>
      <c r="D64" s="4"/>
      <c r="E64" s="4">
        <v>44389</v>
      </c>
      <c r="F64" s="5" t="s">
        <v>160</v>
      </c>
      <c r="G64" s="49">
        <v>12.5</v>
      </c>
      <c r="H64" s="5">
        <v>26.22</v>
      </c>
      <c r="I64" s="102">
        <f>71/30*42</f>
        <v>99.4</v>
      </c>
      <c r="J64" s="5">
        <f>50+45</f>
        <v>95</v>
      </c>
      <c r="K64" s="5"/>
      <c r="L64" s="6">
        <v>140</v>
      </c>
      <c r="M64" s="61">
        <v>71</v>
      </c>
      <c r="N64" s="6">
        <f>(12.5+(127.5-71)*0.7)</f>
        <v>52.05</v>
      </c>
    </row>
    <row r="65" spans="1:16">
      <c r="A65" s="44" t="s">
        <v>132</v>
      </c>
      <c r="B65" s="44"/>
      <c r="C65" s="4">
        <v>44407</v>
      </c>
      <c r="D65" s="4"/>
      <c r="E65" s="4">
        <v>44461</v>
      </c>
      <c r="F65" s="40"/>
      <c r="G65" s="2"/>
      <c r="H65" s="5">
        <v>9.8800000000000008</v>
      </c>
      <c r="I65" s="102">
        <f>25/30*52</f>
        <v>43.333333333333336</v>
      </c>
      <c r="J65" s="5"/>
      <c r="K65" s="5"/>
      <c r="L65" s="6">
        <v>40</v>
      </c>
      <c r="M65" s="61">
        <v>25</v>
      </c>
      <c r="N65" s="6">
        <f>(L65-M65)*0.7</f>
        <v>10.5</v>
      </c>
    </row>
    <row r="66" spans="1:16">
      <c r="A66" s="52" t="s">
        <v>141</v>
      </c>
      <c r="B66" s="52"/>
      <c r="C66" s="57">
        <v>44459</v>
      </c>
      <c r="D66" s="57"/>
      <c r="E66" s="57">
        <v>44481</v>
      </c>
      <c r="F66" s="10" t="s">
        <v>161</v>
      </c>
      <c r="G66" s="12">
        <v>10</v>
      </c>
      <c r="H66" s="25">
        <v>15.15</v>
      </c>
      <c r="I66" s="103">
        <f>46/30*22</f>
        <v>33.733333333333334</v>
      </c>
      <c r="J66" s="25">
        <v>80</v>
      </c>
      <c r="K66" s="25"/>
      <c r="L66" s="27">
        <v>120</v>
      </c>
      <c r="M66" s="64">
        <v>46</v>
      </c>
      <c r="N66" s="27">
        <f>10+(120-56)*0.7</f>
        <v>54.8</v>
      </c>
    </row>
    <row r="67" spans="1:16">
      <c r="A67" s="52" t="s">
        <v>140</v>
      </c>
      <c r="B67" s="52"/>
      <c r="C67" s="57">
        <v>44449</v>
      </c>
      <c r="D67" s="57"/>
      <c r="E67" s="57">
        <v>44482</v>
      </c>
      <c r="F67" s="25" t="s">
        <v>160</v>
      </c>
      <c r="G67" s="58">
        <v>10</v>
      </c>
      <c r="H67" s="25">
        <v>13.4</v>
      </c>
      <c r="I67" s="103">
        <f>60/30*33</f>
        <v>66</v>
      </c>
      <c r="J67" s="25">
        <v>80</v>
      </c>
      <c r="K67" s="25"/>
      <c r="L67" s="27">
        <v>120</v>
      </c>
      <c r="M67" s="64">
        <v>61</v>
      </c>
      <c r="N67" s="27">
        <f>(10+49*0.7)</f>
        <v>44.3</v>
      </c>
    </row>
    <row r="68" spans="1:16">
      <c r="A68" s="44" t="s">
        <v>137</v>
      </c>
      <c r="B68" s="44"/>
      <c r="C68" s="35">
        <v>44474</v>
      </c>
      <c r="D68" s="35"/>
      <c r="E68" s="35">
        <v>44487</v>
      </c>
      <c r="F68" s="10" t="s">
        <v>161</v>
      </c>
      <c r="G68" s="12">
        <v>12.5</v>
      </c>
      <c r="H68" s="5">
        <v>15.15</v>
      </c>
      <c r="I68" s="102">
        <f>71/30*13</f>
        <v>30.766666666666666</v>
      </c>
      <c r="J68" s="5">
        <v>95</v>
      </c>
      <c r="K68" s="5"/>
      <c r="L68" s="6">
        <v>140</v>
      </c>
      <c r="M68" s="61">
        <v>71</v>
      </c>
      <c r="N68" s="6">
        <f>12.5+(56.5)*0.7</f>
        <v>52.05</v>
      </c>
    </row>
    <row r="69" spans="1:16">
      <c r="A69" s="44" t="s">
        <v>143</v>
      </c>
      <c r="B69" s="44"/>
      <c r="C69" s="35">
        <v>43717</v>
      </c>
      <c r="D69" s="35"/>
      <c r="E69" s="35">
        <v>44505</v>
      </c>
      <c r="F69" s="40"/>
      <c r="G69" s="49"/>
      <c r="H69" s="5">
        <v>13.4</v>
      </c>
      <c r="I69" s="102">
        <f>36*25+36/30*26</f>
        <v>931.2</v>
      </c>
      <c r="J69" s="5"/>
      <c r="K69" s="5"/>
      <c r="L69" s="6">
        <v>100</v>
      </c>
      <c r="M69" s="61">
        <v>36</v>
      </c>
      <c r="N69" s="6">
        <f>(100-36)*0.7</f>
        <v>44.8</v>
      </c>
    </row>
    <row r="70" spans="1:16">
      <c r="A70" s="44" t="s">
        <v>139</v>
      </c>
      <c r="B70" s="44"/>
      <c r="C70" s="35">
        <v>44492</v>
      </c>
      <c r="D70" s="35"/>
      <c r="E70" s="35">
        <v>44539</v>
      </c>
      <c r="F70" s="40"/>
      <c r="G70" s="49"/>
      <c r="H70" s="5">
        <v>16.350000000000001</v>
      </c>
      <c r="I70" s="102">
        <f>71/30*46</f>
        <v>108.86666666666667</v>
      </c>
      <c r="J70" s="5">
        <v>95</v>
      </c>
      <c r="K70" s="5"/>
      <c r="L70" s="6">
        <v>140</v>
      </c>
      <c r="M70" s="61">
        <v>71</v>
      </c>
      <c r="N70" s="12">
        <f>(140-71)*0.7</f>
        <v>48.3</v>
      </c>
      <c r="O70" s="72" t="s">
        <v>329</v>
      </c>
      <c r="P70" s="72">
        <v>33.81</v>
      </c>
    </row>
    <row r="71" spans="1:16">
      <c r="A71" s="44" t="s">
        <v>144</v>
      </c>
      <c r="B71" s="44"/>
      <c r="C71" s="35">
        <v>44526</v>
      </c>
      <c r="D71" s="35"/>
      <c r="E71" s="35">
        <v>44550</v>
      </c>
      <c r="F71" s="5" t="s">
        <v>160</v>
      </c>
      <c r="G71" s="49">
        <v>12.5</v>
      </c>
      <c r="H71" s="5">
        <v>13.4</v>
      </c>
      <c r="I71" s="102">
        <f>83/30*24</f>
        <v>66.400000000000006</v>
      </c>
      <c r="J71" s="5"/>
      <c r="K71" s="5"/>
      <c r="L71" s="6">
        <v>140</v>
      </c>
      <c r="M71" s="61">
        <v>94</v>
      </c>
      <c r="N71" s="6">
        <f>12.5+(140-12.5-94)*0.7</f>
        <v>35.950000000000003</v>
      </c>
    </row>
    <row r="72" spans="1:16">
      <c r="A72" s="44" t="s">
        <v>149</v>
      </c>
      <c r="B72" s="44"/>
      <c r="C72" s="35">
        <v>44880</v>
      </c>
      <c r="D72" s="35"/>
      <c r="E72" s="35">
        <v>44575</v>
      </c>
      <c r="F72" s="40"/>
      <c r="G72" s="49"/>
      <c r="H72" s="5">
        <v>13.4</v>
      </c>
      <c r="I72" s="102"/>
      <c r="J72" s="5">
        <v>50</v>
      </c>
      <c r="K72" s="5"/>
      <c r="L72" s="6">
        <v>160</v>
      </c>
      <c r="M72" s="61">
        <f>71+9</f>
        <v>80</v>
      </c>
      <c r="N72" s="6">
        <f>(160-80)*0.7</f>
        <v>56</v>
      </c>
    </row>
    <row r="73" spans="1:16">
      <c r="A73" s="44" t="s">
        <v>146</v>
      </c>
      <c r="B73" s="44"/>
      <c r="C73" s="4">
        <v>44586</v>
      </c>
      <c r="D73" s="4"/>
      <c r="E73" s="4">
        <v>44615</v>
      </c>
      <c r="F73" s="10" t="s">
        <v>161</v>
      </c>
      <c r="G73" s="12">
        <v>12.5</v>
      </c>
      <c r="H73" s="5">
        <v>15.46</v>
      </c>
      <c r="I73" s="102">
        <f>27/30*28</f>
        <v>25.2</v>
      </c>
      <c r="J73" s="5">
        <v>110</v>
      </c>
      <c r="K73" s="5"/>
      <c r="L73" s="6">
        <v>154</v>
      </c>
      <c r="M73" s="61">
        <v>72</v>
      </c>
      <c r="N73" s="6">
        <f>12.5+(154-12.5-62)*0.7</f>
        <v>68.150000000000006</v>
      </c>
    </row>
    <row r="74" spans="1:16">
      <c r="A74" s="44" t="s">
        <v>148</v>
      </c>
      <c r="B74" s="44"/>
      <c r="C74" s="4">
        <v>44579</v>
      </c>
      <c r="D74" s="4"/>
      <c r="E74" s="4">
        <v>44594</v>
      </c>
      <c r="F74" s="40"/>
      <c r="G74" s="49"/>
      <c r="H74" s="5">
        <v>13.4</v>
      </c>
      <c r="I74" s="102">
        <f>22/30*14</f>
        <v>10.266666666666666</v>
      </c>
      <c r="J74" s="5">
        <v>30</v>
      </c>
      <c r="K74" s="5"/>
      <c r="L74" s="6">
        <v>50</v>
      </c>
      <c r="M74" s="61">
        <v>22</v>
      </c>
      <c r="N74" s="6">
        <f>(50-22)*0.7</f>
        <v>19.599999999999998</v>
      </c>
    </row>
    <row r="75" spans="1:16">
      <c r="A75" s="44" t="s">
        <v>150</v>
      </c>
      <c r="B75" s="44"/>
      <c r="C75" s="4">
        <v>44899</v>
      </c>
      <c r="D75" s="4"/>
      <c r="E75" s="4">
        <v>44607</v>
      </c>
      <c r="F75" s="12" t="s">
        <v>160</v>
      </c>
      <c r="G75" s="12">
        <v>12.5</v>
      </c>
      <c r="H75" s="5">
        <v>13.4</v>
      </c>
      <c r="I75" s="102">
        <f>71/30*61</f>
        <v>144.36666666666667</v>
      </c>
      <c r="J75" s="5">
        <v>80</v>
      </c>
      <c r="K75" s="5"/>
      <c r="L75" s="6">
        <v>120</v>
      </c>
      <c r="M75" s="61">
        <v>60</v>
      </c>
      <c r="N75" s="6">
        <f>12.5+(120-72.5)*0.7</f>
        <v>45.75</v>
      </c>
    </row>
    <row r="76" spans="1:16">
      <c r="A76" s="44" t="s">
        <v>153</v>
      </c>
      <c r="B76" s="44"/>
      <c r="C76" s="4">
        <v>44623</v>
      </c>
      <c r="D76" s="4"/>
      <c r="E76" s="4">
        <v>44623</v>
      </c>
      <c r="F76" s="40"/>
      <c r="G76" s="40"/>
      <c r="H76" s="5">
        <v>11.03</v>
      </c>
      <c r="I76" s="102">
        <v>0</v>
      </c>
      <c r="J76" s="5">
        <v>15</v>
      </c>
      <c r="K76" s="5"/>
      <c r="L76" s="6">
        <v>30</v>
      </c>
      <c r="M76" s="61">
        <v>12</v>
      </c>
      <c r="N76" s="6">
        <f>(L76-M76)*0.7</f>
        <v>12.6</v>
      </c>
    </row>
    <row r="77" spans="1:16">
      <c r="A77" s="44" t="s">
        <v>154</v>
      </c>
      <c r="B77" s="44"/>
      <c r="C77" s="4">
        <v>44881</v>
      </c>
      <c r="D77" s="4"/>
      <c r="E77" s="4">
        <v>44628</v>
      </c>
      <c r="F77" s="40"/>
      <c r="G77" s="40"/>
      <c r="H77" s="5">
        <v>9.0299999999999994</v>
      </c>
      <c r="I77" s="102">
        <f>65*3+65/30*22</f>
        <v>242.66666666666666</v>
      </c>
      <c r="J77" s="5">
        <v>95</v>
      </c>
      <c r="K77" s="5"/>
      <c r="L77" s="6">
        <v>112</v>
      </c>
      <c r="M77" s="61">
        <v>65</v>
      </c>
      <c r="N77" s="6">
        <f>(L77-M77)*0.7</f>
        <v>32.9</v>
      </c>
    </row>
    <row r="78" spans="1:16">
      <c r="A78" s="44" t="s">
        <v>155</v>
      </c>
      <c r="B78" s="44"/>
      <c r="C78" s="4">
        <v>44490</v>
      </c>
      <c r="D78" s="4"/>
      <c r="E78" s="4">
        <v>44648</v>
      </c>
      <c r="F78" s="40"/>
      <c r="G78" s="40"/>
      <c r="H78" s="5">
        <v>13.4</v>
      </c>
      <c r="I78" s="102">
        <f>45*5+45/30*7</f>
        <v>235.5</v>
      </c>
      <c r="J78" s="5">
        <v>80</v>
      </c>
      <c r="K78" s="5"/>
      <c r="L78" s="6">
        <v>67.5</v>
      </c>
      <c r="M78" s="61">
        <v>45</v>
      </c>
      <c r="N78" s="6">
        <f>(L78-M78)*0.7</f>
        <v>15.749999999999998</v>
      </c>
    </row>
    <row r="79" spans="1:16">
      <c r="A79" s="44" t="s">
        <v>156</v>
      </c>
      <c r="B79" s="44"/>
      <c r="C79" s="4">
        <v>44489</v>
      </c>
      <c r="D79" s="4"/>
      <c r="E79" s="4">
        <v>44651</v>
      </c>
      <c r="F79" s="40"/>
      <c r="G79" s="40"/>
      <c r="H79" s="5">
        <v>15.46</v>
      </c>
      <c r="I79" s="102">
        <f>50*5+50/10</f>
        <v>255</v>
      </c>
      <c r="J79" s="5">
        <v>145</v>
      </c>
      <c r="K79" s="5"/>
      <c r="L79" s="6">
        <v>125</v>
      </c>
      <c r="M79" s="61">
        <v>50</v>
      </c>
      <c r="N79" s="6">
        <f>(L79-M79)*0.7</f>
        <v>52.5</v>
      </c>
    </row>
    <row r="80" spans="1:16">
      <c r="A80" s="44" t="s">
        <v>157</v>
      </c>
      <c r="B80" s="44"/>
      <c r="C80" s="4">
        <v>44627</v>
      </c>
      <c r="D80" s="4"/>
      <c r="E80" s="4">
        <v>44627</v>
      </c>
      <c r="F80" s="10" t="s">
        <v>161</v>
      </c>
      <c r="G80" s="12">
        <v>10</v>
      </c>
      <c r="H80" s="5">
        <v>15.46</v>
      </c>
      <c r="I80" s="102">
        <v>0</v>
      </c>
      <c r="J80" s="5">
        <v>0</v>
      </c>
      <c r="K80" s="5"/>
      <c r="L80" s="6">
        <v>100</v>
      </c>
      <c r="M80" s="61">
        <v>44</v>
      </c>
      <c r="N80" s="6">
        <f>10+(46)*0.7</f>
        <v>42.199999999999996</v>
      </c>
    </row>
    <row r="81" spans="1:14">
      <c r="A81" s="44" t="s">
        <v>158</v>
      </c>
      <c r="B81" s="44"/>
      <c r="C81" s="4">
        <v>44627</v>
      </c>
      <c r="D81" s="4"/>
      <c r="E81" s="4">
        <v>44627</v>
      </c>
      <c r="F81" s="10" t="s">
        <v>161</v>
      </c>
      <c r="G81" s="12">
        <v>12.5</v>
      </c>
      <c r="H81" s="5">
        <v>15.46</v>
      </c>
      <c r="I81" s="102">
        <v>0</v>
      </c>
      <c r="J81" s="5">
        <v>0</v>
      </c>
      <c r="K81" s="5"/>
      <c r="L81" s="6">
        <v>125</v>
      </c>
      <c r="M81" s="61">
        <v>55</v>
      </c>
      <c r="N81" s="6">
        <f>12.5+(57.5)*0.7</f>
        <v>52.75</v>
      </c>
    </row>
    <row r="82" spans="1:14">
      <c r="A82" s="44" t="s">
        <v>171</v>
      </c>
      <c r="B82" s="44"/>
      <c r="C82" s="4">
        <v>44648</v>
      </c>
      <c r="D82" s="4"/>
      <c r="E82" s="4">
        <v>44734</v>
      </c>
      <c r="F82" s="40"/>
      <c r="G82" s="5"/>
      <c r="H82" s="5">
        <v>13.72</v>
      </c>
      <c r="I82" s="102">
        <f>56/30*84</f>
        <v>156.80000000000001</v>
      </c>
      <c r="J82" s="5">
        <v>95</v>
      </c>
      <c r="K82" s="5"/>
      <c r="L82" s="6">
        <v>140</v>
      </c>
      <c r="M82" s="61">
        <v>56</v>
      </c>
      <c r="N82" s="6">
        <f>(140-56)*0.7</f>
        <v>58.8</v>
      </c>
    </row>
    <row r="83" spans="1:14">
      <c r="A83" s="44" t="s">
        <v>172</v>
      </c>
      <c r="B83" s="44"/>
      <c r="C83" s="4">
        <v>44705</v>
      </c>
      <c r="D83" s="4"/>
      <c r="E83" s="4">
        <v>44715</v>
      </c>
      <c r="F83" s="40"/>
      <c r="G83" s="5"/>
      <c r="H83" s="5">
        <v>10.039999999999999</v>
      </c>
      <c r="I83" s="102">
        <f>25/30*9</f>
        <v>7.5</v>
      </c>
      <c r="J83" s="5"/>
      <c r="K83" s="5"/>
      <c r="L83" s="6">
        <v>50</v>
      </c>
      <c r="M83" s="61">
        <v>25</v>
      </c>
      <c r="N83" s="6">
        <f>(50-25)*0.7</f>
        <v>17.5</v>
      </c>
    </row>
    <row r="84" spans="1:14">
      <c r="A84" s="44" t="s">
        <v>173</v>
      </c>
      <c r="B84" s="44"/>
      <c r="C84" s="4">
        <v>44704</v>
      </c>
      <c r="D84" s="4"/>
      <c r="E84" s="4">
        <v>44721</v>
      </c>
      <c r="F84" s="10" t="s">
        <v>161</v>
      </c>
      <c r="G84" s="56">
        <v>12.5</v>
      </c>
      <c r="H84" s="5">
        <v>13.72</v>
      </c>
      <c r="I84" s="102">
        <f>37/30*16</f>
        <v>19.733333333333334</v>
      </c>
      <c r="J84" s="5">
        <f>50+45</f>
        <v>95</v>
      </c>
      <c r="K84" s="5"/>
      <c r="L84" s="6">
        <v>110</v>
      </c>
      <c r="M84" s="61">
        <v>37</v>
      </c>
      <c r="N84" s="56">
        <f>12.5+(97.5-37)*0.7</f>
        <v>54.849999999999994</v>
      </c>
    </row>
    <row r="85" spans="1:14">
      <c r="A85" s="44" t="s">
        <v>174</v>
      </c>
      <c r="B85" s="44"/>
      <c r="C85" s="4">
        <v>44715</v>
      </c>
      <c r="D85" s="4"/>
      <c r="E85" s="4">
        <v>44820</v>
      </c>
      <c r="F85" s="10" t="s">
        <v>161</v>
      </c>
      <c r="G85" s="56">
        <v>15</v>
      </c>
      <c r="H85" s="5">
        <v>14.6</v>
      </c>
      <c r="I85" s="102">
        <f>56/30*103</f>
        <v>192.26666666666668</v>
      </c>
      <c r="J85" s="5">
        <v>50</v>
      </c>
      <c r="K85" s="5"/>
      <c r="L85" s="6">
        <f>130</f>
        <v>130</v>
      </c>
      <c r="M85" s="61">
        <v>56</v>
      </c>
      <c r="N85" s="56">
        <f>15+(115-56)*0.7</f>
        <v>56.3</v>
      </c>
    </row>
    <row r="86" spans="1:14">
      <c r="A86" s="44" t="s">
        <v>183</v>
      </c>
      <c r="B86" s="44"/>
      <c r="C86" s="4">
        <v>44749</v>
      </c>
      <c r="D86" s="4">
        <v>44830</v>
      </c>
      <c r="E86" s="4">
        <v>44858</v>
      </c>
      <c r="F86" s="40"/>
      <c r="G86" s="5"/>
      <c r="H86" s="5">
        <v>11.03</v>
      </c>
      <c r="I86" s="102">
        <v>25</v>
      </c>
      <c r="J86" s="5">
        <v>15</v>
      </c>
      <c r="K86" s="5"/>
      <c r="L86" s="6">
        <v>80</v>
      </c>
      <c r="M86" s="61">
        <v>25</v>
      </c>
      <c r="N86" s="6">
        <f>55*0.7</f>
        <v>38.5</v>
      </c>
    </row>
    <row r="87" spans="1:14">
      <c r="A87" s="44" t="s">
        <v>184</v>
      </c>
      <c r="B87" s="44"/>
      <c r="C87" s="4">
        <v>44775</v>
      </c>
      <c r="D87" s="4">
        <v>44810</v>
      </c>
      <c r="E87" s="4">
        <v>44848</v>
      </c>
      <c r="F87" s="40"/>
      <c r="G87" s="5"/>
      <c r="H87" s="5">
        <v>23.38</v>
      </c>
      <c r="I87" s="102">
        <f>100/30*38</f>
        <v>126.66666666666667</v>
      </c>
      <c r="J87" s="5">
        <v>155</v>
      </c>
      <c r="K87" s="5"/>
      <c r="L87" s="6">
        <v>220</v>
      </c>
      <c r="M87" s="61">
        <v>100</v>
      </c>
      <c r="N87" s="6">
        <v>90.75</v>
      </c>
    </row>
    <row r="88" spans="1:14">
      <c r="A88" s="44" t="s">
        <v>185</v>
      </c>
      <c r="B88" s="44"/>
      <c r="C88" s="4">
        <v>44830</v>
      </c>
      <c r="D88" s="4">
        <v>44852</v>
      </c>
      <c r="E88" s="4">
        <v>44858</v>
      </c>
      <c r="F88" s="10" t="s">
        <v>161</v>
      </c>
      <c r="G88" s="12">
        <v>15</v>
      </c>
      <c r="H88" s="5">
        <v>23.38</v>
      </c>
      <c r="I88" s="102">
        <f>54.5/30*6</f>
        <v>10.9</v>
      </c>
      <c r="J88" s="5">
        <v>95</v>
      </c>
      <c r="K88" s="5"/>
      <c r="L88" s="6">
        <v>160</v>
      </c>
      <c r="M88" s="61">
        <v>64.5</v>
      </c>
      <c r="N88" s="6">
        <f>15+(145-64.5)*0.7</f>
        <v>71.349999999999994</v>
      </c>
    </row>
    <row r="89" spans="1:14">
      <c r="A89" s="44" t="s">
        <v>190</v>
      </c>
      <c r="B89" s="44"/>
      <c r="C89" s="4"/>
      <c r="D89" s="4">
        <v>44879</v>
      </c>
      <c r="E89" s="35">
        <v>44887</v>
      </c>
      <c r="F89" s="44" t="s">
        <v>161</v>
      </c>
      <c r="G89" s="56">
        <v>10</v>
      </c>
      <c r="H89" s="5">
        <v>14.6</v>
      </c>
      <c r="I89" s="102">
        <f>34/30*8</f>
        <v>9.0666666666666664</v>
      </c>
      <c r="J89" s="5">
        <v>45</v>
      </c>
      <c r="K89" s="5"/>
      <c r="L89" s="6">
        <v>75</v>
      </c>
      <c r="M89" s="61">
        <v>34</v>
      </c>
      <c r="N89" s="56">
        <f>10+(80-34)*0.7</f>
        <v>42.199999999999996</v>
      </c>
    </row>
    <row r="90" spans="1:14">
      <c r="A90" s="44" t="s">
        <v>193</v>
      </c>
      <c r="B90" s="44"/>
      <c r="C90" s="4">
        <v>44872</v>
      </c>
      <c r="D90" s="4">
        <v>44879</v>
      </c>
      <c r="E90" s="35">
        <v>44882</v>
      </c>
      <c r="F90" s="40"/>
      <c r="G90" s="5"/>
      <c r="H90" s="5">
        <v>10.039999999999999</v>
      </c>
      <c r="I90" s="102">
        <f>25/30*3</f>
        <v>2.5</v>
      </c>
      <c r="J90" s="5"/>
      <c r="K90" s="5"/>
      <c r="L90" s="6">
        <v>40</v>
      </c>
      <c r="M90" s="61">
        <v>25</v>
      </c>
      <c r="N90" s="6">
        <f>(L90-M90)*0.7</f>
        <v>10.5</v>
      </c>
    </row>
    <row r="91" spans="1:14">
      <c r="A91" s="44" t="s">
        <v>213</v>
      </c>
      <c r="B91" s="44"/>
      <c r="C91" s="4">
        <v>44894</v>
      </c>
      <c r="D91" s="4">
        <v>44908</v>
      </c>
      <c r="E91" s="35">
        <v>44944</v>
      </c>
      <c r="F91" s="40" t="s">
        <v>161</v>
      </c>
      <c r="G91" s="5">
        <v>15</v>
      </c>
      <c r="H91" s="5">
        <v>31.72</v>
      </c>
      <c r="I91" s="102">
        <f>50/30*35</f>
        <v>58.333333333333336</v>
      </c>
      <c r="J91" s="5">
        <f>60+50</f>
        <v>110</v>
      </c>
      <c r="K91" s="5"/>
      <c r="L91" s="6">
        <v>130</v>
      </c>
      <c r="M91" s="61">
        <f>19+2+3.5*2+11*2</f>
        <v>50</v>
      </c>
      <c r="N91" s="94">
        <f>15+(L91-M91-15)*0.7</f>
        <v>60.5</v>
      </c>
    </row>
    <row r="92" spans="1:14">
      <c r="A92" s="44" t="s">
        <v>227</v>
      </c>
      <c r="B92" s="44"/>
      <c r="C92" s="4">
        <v>44949</v>
      </c>
      <c r="D92" s="4">
        <v>44953</v>
      </c>
      <c r="E92" s="35">
        <v>44966</v>
      </c>
      <c r="F92" s="40" t="s">
        <v>160</v>
      </c>
      <c r="G92" s="5">
        <v>15</v>
      </c>
      <c r="H92" s="5">
        <v>16.38</v>
      </c>
      <c r="I92" s="102">
        <f>61.5/30*12</f>
        <v>24.599999999999998</v>
      </c>
      <c r="J92" s="5">
        <f>50+60</f>
        <v>110</v>
      </c>
      <c r="K92" s="5"/>
      <c r="L92" s="6">
        <v>160</v>
      </c>
      <c r="M92" s="65">
        <f>32.5+7+22</f>
        <v>61.5</v>
      </c>
      <c r="N92" s="59">
        <f>15+(L92-M92-15)*0.7</f>
        <v>73.449999999999989</v>
      </c>
    </row>
    <row r="93" spans="1:14">
      <c r="A93" s="44" t="s">
        <v>228</v>
      </c>
      <c r="B93" s="44"/>
      <c r="C93" s="4">
        <v>44957</v>
      </c>
      <c r="D93" s="4">
        <v>44957</v>
      </c>
      <c r="E93" s="35">
        <v>44977</v>
      </c>
      <c r="F93" s="40"/>
      <c r="G93" s="5"/>
      <c r="H93" s="5">
        <v>20.61</v>
      </c>
      <c r="I93" s="102">
        <f>66/30*20</f>
        <v>44</v>
      </c>
      <c r="J93" s="5">
        <v>90</v>
      </c>
      <c r="K93" s="5"/>
      <c r="L93" s="6">
        <v>155</v>
      </c>
      <c r="M93" s="65">
        <v>54</v>
      </c>
      <c r="N93" s="59">
        <f>(L93-M93)*0.7</f>
        <v>70.699999999999989</v>
      </c>
    </row>
    <row r="94" spans="1:14">
      <c r="A94" s="44" t="s">
        <v>255</v>
      </c>
      <c r="B94" s="44"/>
      <c r="C94" s="35">
        <v>44691</v>
      </c>
      <c r="D94" s="35">
        <v>44994</v>
      </c>
      <c r="E94" s="4">
        <v>44994</v>
      </c>
      <c r="F94" s="40"/>
      <c r="G94" s="40"/>
      <c r="H94" s="5">
        <v>11.03</v>
      </c>
      <c r="I94" s="102">
        <f>25*14</f>
        <v>350</v>
      </c>
      <c r="J94" s="40">
        <f>30+50</f>
        <v>80</v>
      </c>
      <c r="K94" s="40"/>
      <c r="L94" s="6">
        <v>90</v>
      </c>
      <c r="M94" s="6">
        <v>25</v>
      </c>
      <c r="N94" s="59">
        <v>48.5</v>
      </c>
    </row>
    <row r="95" spans="1:14">
      <c r="A95" s="44" t="s">
        <v>187</v>
      </c>
      <c r="B95" s="44"/>
      <c r="C95" s="35"/>
      <c r="D95" s="35">
        <v>44991</v>
      </c>
      <c r="E95" s="4">
        <v>44991</v>
      </c>
      <c r="F95" s="40"/>
      <c r="G95" s="40"/>
      <c r="H95" s="5">
        <v>13.31</v>
      </c>
      <c r="I95" s="102"/>
      <c r="J95" s="40">
        <v>45</v>
      </c>
      <c r="K95" s="40"/>
      <c r="L95" s="6">
        <v>80</v>
      </c>
      <c r="M95" s="6">
        <v>27</v>
      </c>
      <c r="N95" s="59">
        <f>(L95-M95)*0.7</f>
        <v>37.099999999999994</v>
      </c>
    </row>
    <row r="96" spans="1:14">
      <c r="A96" s="76" t="s">
        <v>276</v>
      </c>
      <c r="B96" s="44"/>
      <c r="C96" s="35">
        <v>45061</v>
      </c>
      <c r="D96" s="35">
        <v>45070</v>
      </c>
      <c r="E96" s="4"/>
      <c r="F96" s="40"/>
      <c r="G96" s="40"/>
      <c r="H96" s="5">
        <v>11.48</v>
      </c>
      <c r="I96" s="102">
        <f>21/30*9</f>
        <v>6.3</v>
      </c>
      <c r="J96" s="40"/>
      <c r="K96" s="40"/>
      <c r="L96" s="17">
        <f>50</f>
        <v>50</v>
      </c>
      <c r="M96" s="18">
        <v>21</v>
      </c>
      <c r="N96" s="70">
        <f>(50-21)*0.7</f>
        <v>20.299999999999997</v>
      </c>
    </row>
    <row r="97" spans="1:16">
      <c r="A97" s="76" t="s">
        <v>279</v>
      </c>
      <c r="B97" s="44"/>
      <c r="C97" s="35">
        <v>45065</v>
      </c>
      <c r="D97" s="35">
        <v>45070</v>
      </c>
      <c r="E97" s="4"/>
      <c r="F97" s="40"/>
      <c r="G97" s="40"/>
      <c r="H97" s="5">
        <v>11.48</v>
      </c>
      <c r="I97" s="102">
        <f>21/30*5</f>
        <v>3.5</v>
      </c>
      <c r="J97" s="40"/>
      <c r="K97" s="40"/>
      <c r="L97" s="17">
        <f>50</f>
        <v>50</v>
      </c>
      <c r="M97" s="18">
        <v>21</v>
      </c>
      <c r="N97" s="70">
        <f>(50-21)*0.7</f>
        <v>20.299999999999997</v>
      </c>
    </row>
    <row r="98" spans="1:16">
      <c r="A98" s="76" t="s">
        <v>278</v>
      </c>
      <c r="B98" s="52"/>
      <c r="C98" s="57">
        <v>44973</v>
      </c>
      <c r="D98" s="57">
        <v>45070</v>
      </c>
      <c r="E98" s="24"/>
      <c r="F98" s="48"/>
      <c r="G98" s="48"/>
      <c r="H98" s="25">
        <v>11.48</v>
      </c>
      <c r="I98" s="103">
        <f>21/30*98</f>
        <v>68.599999999999994</v>
      </c>
      <c r="J98" s="48"/>
      <c r="K98" s="48"/>
      <c r="L98" s="17">
        <v>50</v>
      </c>
      <c r="M98" s="26">
        <v>21</v>
      </c>
      <c r="N98" s="85">
        <f>(50-21)*0.7</f>
        <v>20.299999999999997</v>
      </c>
    </row>
    <row r="99" spans="1:16">
      <c r="A99" s="44" t="s">
        <v>289</v>
      </c>
      <c r="B99" s="44"/>
      <c r="C99" s="35">
        <v>45110</v>
      </c>
      <c r="D99" s="35">
        <v>45127</v>
      </c>
      <c r="E99" s="4">
        <v>45110</v>
      </c>
      <c r="F99" s="40"/>
      <c r="G99" s="40"/>
      <c r="H99" s="5">
        <v>13.31</v>
      </c>
      <c r="I99" s="102">
        <f>27/30*17</f>
        <v>15.3</v>
      </c>
      <c r="J99" s="40">
        <v>45</v>
      </c>
      <c r="K99" s="40"/>
      <c r="L99" s="6">
        <v>75</v>
      </c>
      <c r="M99" s="6">
        <v>27</v>
      </c>
      <c r="N99" s="59">
        <f>(L99-M99)*0.7</f>
        <v>33.599999999999994</v>
      </c>
    </row>
    <row r="100" spans="1:16">
      <c r="A100" s="44" t="s">
        <v>292</v>
      </c>
      <c r="B100" s="44"/>
      <c r="C100" s="35">
        <v>45138</v>
      </c>
      <c r="D100" s="35">
        <v>45139</v>
      </c>
      <c r="E100" s="35">
        <v>45162</v>
      </c>
      <c r="F100" s="40"/>
      <c r="G100" s="40"/>
      <c r="H100" s="5">
        <v>12.48</v>
      </c>
      <c r="I100" s="102">
        <f>27/30*23</f>
        <v>20.7</v>
      </c>
      <c r="J100" s="40">
        <v>45</v>
      </c>
      <c r="K100" s="40"/>
      <c r="L100" s="6">
        <v>90</v>
      </c>
      <c r="M100" s="6">
        <v>27</v>
      </c>
      <c r="N100" s="59">
        <f>(L100-M100)*0.7</f>
        <v>44.099999999999994</v>
      </c>
    </row>
    <row r="101" spans="1:16">
      <c r="A101" s="44" t="s">
        <v>293</v>
      </c>
      <c r="B101" s="44"/>
      <c r="C101" s="35">
        <v>45086</v>
      </c>
      <c r="D101" s="35">
        <v>45089</v>
      </c>
      <c r="E101" s="4">
        <v>45103</v>
      </c>
      <c r="F101" s="40"/>
      <c r="G101" s="40"/>
      <c r="H101" s="5">
        <v>11.03</v>
      </c>
      <c r="I101" s="102">
        <f>21/30*14</f>
        <v>9.7999999999999989</v>
      </c>
      <c r="J101" s="40"/>
      <c r="K101" s="40"/>
      <c r="L101" s="6">
        <v>50</v>
      </c>
      <c r="M101" s="6">
        <v>21</v>
      </c>
      <c r="N101" s="59">
        <f>(L101-M101)*0.7</f>
        <v>20.299999999999997</v>
      </c>
    </row>
    <row r="102" spans="1:16">
      <c r="A102" s="44" t="s">
        <v>295</v>
      </c>
      <c r="B102" s="44"/>
      <c r="C102" s="35">
        <v>45228</v>
      </c>
      <c r="D102" s="35">
        <v>45203</v>
      </c>
      <c r="E102" s="4"/>
      <c r="F102" s="40"/>
      <c r="G102" s="40"/>
      <c r="H102" s="5">
        <v>13.31</v>
      </c>
      <c r="I102" s="102">
        <f>27/30*5</f>
        <v>4.5</v>
      </c>
      <c r="J102" s="40">
        <v>45</v>
      </c>
      <c r="K102" s="40"/>
      <c r="L102" s="6">
        <v>80</v>
      </c>
      <c r="M102" s="6">
        <v>27</v>
      </c>
      <c r="N102" s="59">
        <f>(L102-M102)*0.7</f>
        <v>37.099999999999994</v>
      </c>
    </row>
    <row r="103" spans="1:16">
      <c r="A103" s="44" t="s">
        <v>320</v>
      </c>
      <c r="B103" s="44"/>
      <c r="C103" s="35">
        <v>45177</v>
      </c>
      <c r="D103" s="35">
        <v>45196</v>
      </c>
      <c r="E103" s="4"/>
      <c r="F103" s="40"/>
      <c r="G103" s="40"/>
      <c r="H103" s="5">
        <v>10.44</v>
      </c>
      <c r="I103" s="102">
        <f>38/30*21</f>
        <v>26.599999999999998</v>
      </c>
      <c r="J103" s="40"/>
      <c r="K103" s="40"/>
      <c r="L103" s="6">
        <v>69</v>
      </c>
      <c r="M103" s="6">
        <v>38</v>
      </c>
      <c r="N103" s="59">
        <f>(69-38)*0.7</f>
        <v>21.7</v>
      </c>
    </row>
    <row r="104" spans="1:16">
      <c r="A104" s="44" t="s">
        <v>325</v>
      </c>
      <c r="B104" s="44"/>
      <c r="C104" s="35"/>
      <c r="D104" s="35">
        <v>45223</v>
      </c>
      <c r="E104" s="4">
        <v>45239</v>
      </c>
      <c r="F104" s="40"/>
      <c r="G104" s="40"/>
      <c r="H104" s="5">
        <v>40</v>
      </c>
      <c r="I104" s="102">
        <f>43/30*15</f>
        <v>21.5</v>
      </c>
      <c r="J104" s="40"/>
      <c r="K104" s="40"/>
      <c r="L104" s="6">
        <v>69</v>
      </c>
      <c r="M104" s="6">
        <v>43</v>
      </c>
      <c r="N104" s="94">
        <f>(69-43)*0.7</f>
        <v>18.2</v>
      </c>
      <c r="O104" s="72" t="s">
        <v>329</v>
      </c>
      <c r="P104" s="72">
        <v>12.74</v>
      </c>
    </row>
    <row r="105" spans="1:16">
      <c r="A105" s="44" t="s">
        <v>326</v>
      </c>
      <c r="B105" s="44"/>
      <c r="C105" s="35"/>
      <c r="D105" s="35">
        <v>45188</v>
      </c>
      <c r="E105" s="4">
        <v>45209</v>
      </c>
      <c r="F105" s="40"/>
      <c r="G105" s="40"/>
      <c r="H105" s="5">
        <v>11.48</v>
      </c>
      <c r="I105" s="102"/>
      <c r="J105" s="40"/>
      <c r="K105" s="40"/>
      <c r="L105" s="6">
        <v>59</v>
      </c>
      <c r="M105" s="6">
        <v>38</v>
      </c>
      <c r="N105" s="59">
        <f>(L105-M105)*0.7</f>
        <v>14.7</v>
      </c>
    </row>
    <row r="106" spans="1:16">
      <c r="A106" s="44" t="s">
        <v>108</v>
      </c>
      <c r="B106" s="44"/>
      <c r="C106" s="35"/>
      <c r="D106" s="35">
        <v>45231</v>
      </c>
      <c r="E106" s="4">
        <v>45231</v>
      </c>
      <c r="F106" s="40"/>
      <c r="G106" s="40"/>
      <c r="H106" s="5"/>
      <c r="I106" s="102"/>
      <c r="J106" s="40"/>
      <c r="K106" s="40"/>
      <c r="L106" s="6">
        <v>69</v>
      </c>
      <c r="M106" s="6">
        <v>43</v>
      </c>
      <c r="N106" s="59">
        <f>(L106-M106)*0.7</f>
        <v>18.2</v>
      </c>
    </row>
    <row r="107" spans="1:16">
      <c r="A107" s="44" t="s">
        <v>327</v>
      </c>
      <c r="B107" s="44"/>
      <c r="C107" s="35"/>
      <c r="D107" s="35"/>
      <c r="E107" s="4">
        <v>45127</v>
      </c>
      <c r="F107" s="40"/>
      <c r="G107" s="40"/>
      <c r="H107" s="5">
        <v>11.48</v>
      </c>
      <c r="I107" s="102"/>
      <c r="J107" s="40"/>
      <c r="K107" s="40"/>
      <c r="L107" s="6">
        <v>25</v>
      </c>
      <c r="M107" s="6">
        <v>9</v>
      </c>
      <c r="N107" s="59">
        <f>(L107-M107)*0.7</f>
        <v>11.2</v>
      </c>
    </row>
    <row r="108" spans="1:16">
      <c r="A108" s="44" t="s">
        <v>336</v>
      </c>
      <c r="B108" s="44"/>
      <c r="C108" s="35"/>
      <c r="D108" s="35">
        <v>45278</v>
      </c>
      <c r="E108" s="4">
        <v>45278</v>
      </c>
      <c r="F108" s="40"/>
      <c r="G108" s="40"/>
      <c r="H108" s="5"/>
      <c r="I108" s="102"/>
      <c r="J108" s="40"/>
      <c r="K108" s="40"/>
      <c r="L108" s="6">
        <v>69</v>
      </c>
      <c r="M108" s="6">
        <v>43</v>
      </c>
      <c r="N108" s="59">
        <f>(69-43)*0.7/30*42</f>
        <v>25.48</v>
      </c>
    </row>
    <row r="109" spans="1:16">
      <c r="A109" s="44" t="s">
        <v>337</v>
      </c>
      <c r="B109" s="44"/>
      <c r="C109" s="35">
        <v>45342</v>
      </c>
      <c r="D109" s="35">
        <v>44977</v>
      </c>
      <c r="E109" s="4">
        <v>45342</v>
      </c>
      <c r="F109" s="40"/>
      <c r="G109" s="40"/>
      <c r="H109" s="5">
        <v>13.78</v>
      </c>
      <c r="I109" s="102"/>
      <c r="J109" s="40">
        <f>45+50</f>
        <v>95</v>
      </c>
      <c r="K109" s="40"/>
      <c r="L109" s="6">
        <v>100</v>
      </c>
      <c r="M109" s="6">
        <v>38.5</v>
      </c>
      <c r="N109" s="59">
        <f t="shared" ref="N109:N130" si="2">(L109-M109)*0.7</f>
        <v>43.05</v>
      </c>
    </row>
    <row r="110" spans="1:16">
      <c r="A110" s="44" t="s">
        <v>338</v>
      </c>
      <c r="B110" s="44"/>
      <c r="C110" s="35">
        <v>45271</v>
      </c>
      <c r="D110" s="35"/>
      <c r="E110" s="4">
        <v>45301</v>
      </c>
      <c r="F110" s="40"/>
      <c r="G110" s="40"/>
      <c r="H110" s="5">
        <v>14.26</v>
      </c>
      <c r="I110" s="102">
        <f>25/30*29</f>
        <v>24.166666666666668</v>
      </c>
      <c r="J110" s="40">
        <f>30+50</f>
        <v>80</v>
      </c>
      <c r="K110" s="40"/>
      <c r="L110" s="6">
        <v>80</v>
      </c>
      <c r="M110" s="6">
        <v>29</v>
      </c>
      <c r="N110" s="59">
        <f t="shared" si="2"/>
        <v>35.699999999999996</v>
      </c>
      <c r="O110" t="s">
        <v>339</v>
      </c>
    </row>
    <row r="111" spans="1:16">
      <c r="A111" s="44" t="s">
        <v>333</v>
      </c>
      <c r="B111" s="44"/>
      <c r="C111" s="35"/>
      <c r="D111" s="35"/>
      <c r="E111" s="4">
        <v>45336</v>
      </c>
      <c r="F111" s="40"/>
      <c r="G111" s="40"/>
      <c r="H111" s="5">
        <v>10</v>
      </c>
      <c r="I111" s="102">
        <v>0</v>
      </c>
      <c r="J111" s="40">
        <v>120</v>
      </c>
      <c r="K111" s="40"/>
      <c r="L111" s="6">
        <v>160</v>
      </c>
      <c r="M111" s="6">
        <v>72</v>
      </c>
      <c r="N111" s="59">
        <f t="shared" si="2"/>
        <v>61.599999999999994</v>
      </c>
    </row>
    <row r="112" spans="1:16">
      <c r="A112" s="44" t="s">
        <v>343</v>
      </c>
      <c r="B112" s="44"/>
      <c r="C112" s="35"/>
      <c r="D112" s="35"/>
      <c r="E112" s="4">
        <v>45336</v>
      </c>
      <c r="F112" s="40"/>
      <c r="G112" s="40"/>
      <c r="H112" s="5">
        <v>10.92</v>
      </c>
      <c r="I112" s="102"/>
      <c r="J112" s="40"/>
      <c r="K112" s="40"/>
      <c r="L112" s="6">
        <v>59</v>
      </c>
      <c r="M112" s="6">
        <v>38</v>
      </c>
      <c r="N112" s="59">
        <f t="shared" si="2"/>
        <v>14.7</v>
      </c>
    </row>
    <row r="113" spans="1:14">
      <c r="A113" s="44" t="s">
        <v>381</v>
      </c>
      <c r="B113" s="44"/>
      <c r="C113" s="35"/>
      <c r="D113" s="35">
        <v>45323</v>
      </c>
      <c r="E113" s="4">
        <v>45323</v>
      </c>
      <c r="F113" s="40"/>
      <c r="G113" s="40"/>
      <c r="H113" s="5">
        <v>10.92</v>
      </c>
      <c r="I113" s="102"/>
      <c r="J113" s="40"/>
      <c r="K113" s="40"/>
      <c r="L113" s="6">
        <v>59</v>
      </c>
      <c r="M113" s="6">
        <v>38</v>
      </c>
      <c r="N113" s="59">
        <f t="shared" si="2"/>
        <v>14.7</v>
      </c>
    </row>
    <row r="114" spans="1:14">
      <c r="A114" s="44" t="s">
        <v>345</v>
      </c>
      <c r="B114" s="44"/>
      <c r="C114" s="35"/>
      <c r="D114" s="35"/>
      <c r="E114" s="4">
        <v>45345</v>
      </c>
      <c r="F114" s="40"/>
      <c r="G114" s="40"/>
      <c r="H114" s="5">
        <v>24.2</v>
      </c>
      <c r="I114" s="102"/>
      <c r="J114" s="40">
        <v>45</v>
      </c>
      <c r="K114" s="40"/>
      <c r="L114" s="6">
        <v>90</v>
      </c>
      <c r="M114" s="6">
        <f>7+9</f>
        <v>16</v>
      </c>
      <c r="N114" s="59">
        <f t="shared" si="2"/>
        <v>51.8</v>
      </c>
    </row>
    <row r="115" spans="1:14">
      <c r="A115" s="44" t="s">
        <v>346</v>
      </c>
      <c r="B115" s="44"/>
      <c r="C115" s="35"/>
      <c r="D115" s="35"/>
      <c r="E115" s="4">
        <v>45334</v>
      </c>
      <c r="F115" s="40"/>
      <c r="G115" s="40"/>
      <c r="H115" s="5">
        <v>12.01</v>
      </c>
      <c r="I115" s="102"/>
      <c r="J115" s="40">
        <v>15</v>
      </c>
      <c r="K115" s="40"/>
      <c r="L115" s="6">
        <v>20</v>
      </c>
      <c r="M115" s="6">
        <v>9</v>
      </c>
      <c r="N115" s="70">
        <f t="shared" si="2"/>
        <v>7.6999999999999993</v>
      </c>
    </row>
    <row r="116" spans="1:14">
      <c r="A116" s="44" t="s">
        <v>361</v>
      </c>
      <c r="B116" s="44"/>
      <c r="C116" s="35"/>
      <c r="D116" s="35">
        <v>45366</v>
      </c>
      <c r="E116" s="4">
        <v>45385</v>
      </c>
      <c r="F116" s="40"/>
      <c r="G116" s="40"/>
      <c r="H116" s="5"/>
      <c r="I116" s="102">
        <f>69/30*18</f>
        <v>41.4</v>
      </c>
      <c r="J116" s="40"/>
      <c r="K116" s="40"/>
      <c r="L116" s="6">
        <v>69</v>
      </c>
      <c r="M116" s="6">
        <v>43</v>
      </c>
      <c r="N116" s="70">
        <f t="shared" si="2"/>
        <v>18.2</v>
      </c>
    </row>
    <row r="117" spans="1:14">
      <c r="A117" s="44" t="s">
        <v>365</v>
      </c>
      <c r="B117" s="44"/>
      <c r="C117" s="35"/>
      <c r="D117" s="35">
        <v>45450</v>
      </c>
      <c r="E117" s="4">
        <v>45456</v>
      </c>
      <c r="F117" s="40"/>
      <c r="G117" s="40"/>
      <c r="H117" s="5"/>
      <c r="I117" s="102">
        <f>47/30*5</f>
        <v>7.833333333333333</v>
      </c>
      <c r="J117" s="40"/>
      <c r="K117" s="40"/>
      <c r="L117" s="6">
        <v>69</v>
      </c>
      <c r="M117" s="6">
        <v>47</v>
      </c>
      <c r="N117" s="59">
        <f t="shared" si="2"/>
        <v>15.399999999999999</v>
      </c>
    </row>
    <row r="118" spans="1:14">
      <c r="A118" s="44" t="s">
        <v>358</v>
      </c>
      <c r="B118" s="44"/>
      <c r="C118" s="35"/>
      <c r="D118" s="35">
        <v>45468</v>
      </c>
      <c r="E118" s="4">
        <v>45468</v>
      </c>
      <c r="F118" s="40"/>
      <c r="G118" s="40"/>
      <c r="H118" s="5">
        <v>12.01</v>
      </c>
      <c r="I118" s="102"/>
      <c r="J118" s="40"/>
      <c r="K118" s="40"/>
      <c r="L118" s="6">
        <v>59</v>
      </c>
      <c r="M118" s="6">
        <v>38</v>
      </c>
      <c r="N118" s="59">
        <f t="shared" si="2"/>
        <v>14.7</v>
      </c>
    </row>
    <row r="119" spans="1:14">
      <c r="A119" s="44" t="s">
        <v>218</v>
      </c>
      <c r="B119" s="44"/>
      <c r="C119" s="35"/>
      <c r="D119" s="35">
        <v>45456</v>
      </c>
      <c r="E119" s="4">
        <v>45456</v>
      </c>
      <c r="F119" s="40"/>
      <c r="G119" s="40"/>
      <c r="H119" s="5">
        <v>10</v>
      </c>
      <c r="I119" s="102"/>
      <c r="J119" s="40">
        <v>45</v>
      </c>
      <c r="K119" s="40"/>
      <c r="L119" s="6">
        <v>80</v>
      </c>
      <c r="M119" s="6">
        <v>27</v>
      </c>
      <c r="N119" s="59">
        <f t="shared" si="2"/>
        <v>37.099999999999994</v>
      </c>
    </row>
    <row r="120" spans="1:14">
      <c r="A120" s="44" t="s">
        <v>366</v>
      </c>
      <c r="B120" s="44"/>
      <c r="C120" s="35"/>
      <c r="D120" s="35">
        <v>45454</v>
      </c>
      <c r="E120" s="4"/>
      <c r="F120" s="40"/>
      <c r="G120" s="40"/>
      <c r="H120" s="5"/>
      <c r="I120" s="102"/>
      <c r="J120" s="40"/>
      <c r="K120" s="40"/>
      <c r="L120" s="6">
        <v>59</v>
      </c>
      <c r="M120" s="6">
        <v>38</v>
      </c>
      <c r="N120" s="59">
        <f t="shared" si="2"/>
        <v>14.7</v>
      </c>
    </row>
    <row r="121" spans="1:14">
      <c r="A121" s="44" t="s">
        <v>64</v>
      </c>
      <c r="B121" s="44"/>
      <c r="C121" s="35"/>
      <c r="D121" s="35">
        <v>45469</v>
      </c>
      <c r="E121" s="4">
        <v>45469</v>
      </c>
      <c r="F121" s="40"/>
      <c r="G121" s="40"/>
      <c r="H121" s="5"/>
      <c r="I121" s="102"/>
      <c r="J121" s="40"/>
      <c r="K121" s="40"/>
      <c r="L121" s="6">
        <v>100</v>
      </c>
      <c r="M121" s="18">
        <v>5</v>
      </c>
      <c r="N121" s="59">
        <f t="shared" si="2"/>
        <v>66.5</v>
      </c>
    </row>
    <row r="122" spans="1:14">
      <c r="A122" s="44" t="s">
        <v>369</v>
      </c>
      <c r="B122" s="44"/>
      <c r="C122" s="35"/>
      <c r="D122" s="35">
        <v>45464</v>
      </c>
      <c r="E122" s="4">
        <v>41811</v>
      </c>
      <c r="F122" s="40"/>
      <c r="G122" s="40"/>
      <c r="H122" s="5">
        <v>24.98</v>
      </c>
      <c r="I122" s="102"/>
      <c r="J122" s="40">
        <v>15</v>
      </c>
      <c r="K122" s="40"/>
      <c r="L122" s="6">
        <v>80</v>
      </c>
      <c r="M122" s="6">
        <v>42.5</v>
      </c>
      <c r="N122" s="59">
        <f t="shared" si="2"/>
        <v>26.25</v>
      </c>
    </row>
    <row r="123" spans="1:14">
      <c r="A123" s="44" t="s">
        <v>370</v>
      </c>
      <c r="B123" s="44"/>
      <c r="C123" s="35"/>
      <c r="D123" s="35">
        <v>45444</v>
      </c>
      <c r="E123" s="4">
        <v>41791</v>
      </c>
      <c r="F123" s="40"/>
      <c r="G123" s="40"/>
      <c r="H123" s="5">
        <v>12.98</v>
      </c>
      <c r="I123" s="102"/>
      <c r="J123" s="40">
        <v>30</v>
      </c>
      <c r="K123" s="40"/>
      <c r="L123" s="6">
        <v>65</v>
      </c>
      <c r="M123" s="6">
        <v>18</v>
      </c>
      <c r="N123" s="59">
        <f t="shared" si="2"/>
        <v>32.9</v>
      </c>
    </row>
    <row r="124" spans="1:14">
      <c r="A124" s="44" t="s">
        <v>375</v>
      </c>
      <c r="B124" s="44"/>
      <c r="C124" s="35"/>
      <c r="D124" s="35">
        <v>45471</v>
      </c>
      <c r="E124" s="35">
        <v>45471</v>
      </c>
      <c r="F124" s="40"/>
      <c r="G124" s="40"/>
      <c r="H124" s="5">
        <f>10+12.01</f>
        <v>22.009999999999998</v>
      </c>
      <c r="I124" s="102"/>
      <c r="J124" s="40">
        <v>30</v>
      </c>
      <c r="K124" s="40"/>
      <c r="L124" s="6">
        <v>90</v>
      </c>
      <c r="M124" s="18">
        <f>38.5+1+18</f>
        <v>57.5</v>
      </c>
      <c r="N124" s="70">
        <f t="shared" si="2"/>
        <v>22.75</v>
      </c>
    </row>
    <row r="125" spans="1:14">
      <c r="A125" s="44" t="s">
        <v>83</v>
      </c>
      <c r="B125" s="44"/>
      <c r="C125" s="35"/>
      <c r="D125" s="35">
        <v>45482</v>
      </c>
      <c r="E125" s="35">
        <v>45482</v>
      </c>
      <c r="F125" s="40"/>
      <c r="G125" s="40"/>
      <c r="H125" s="5"/>
      <c r="I125" s="102"/>
      <c r="J125" s="40"/>
      <c r="K125" s="40"/>
      <c r="L125" s="6">
        <v>69</v>
      </c>
      <c r="M125" s="18">
        <v>43</v>
      </c>
      <c r="N125" s="70">
        <f t="shared" si="2"/>
        <v>18.2</v>
      </c>
    </row>
    <row r="126" spans="1:14">
      <c r="A126" s="44" t="s">
        <v>383</v>
      </c>
      <c r="B126" s="44"/>
      <c r="C126" s="35"/>
      <c r="D126" s="35">
        <v>45434</v>
      </c>
      <c r="E126" s="35">
        <v>45513</v>
      </c>
      <c r="F126" s="40"/>
      <c r="G126" s="40"/>
      <c r="H126" s="5">
        <v>14.58</v>
      </c>
      <c r="I126" s="102"/>
      <c r="J126" s="40"/>
      <c r="K126" s="40"/>
      <c r="L126" s="6">
        <v>69</v>
      </c>
      <c r="M126" s="18">
        <v>43</v>
      </c>
      <c r="N126" s="70">
        <f t="shared" si="2"/>
        <v>18.2</v>
      </c>
    </row>
    <row r="127" spans="1:14">
      <c r="A127" s="44" t="s">
        <v>384</v>
      </c>
      <c r="B127" s="44"/>
      <c r="C127" s="35"/>
      <c r="D127" s="35"/>
      <c r="E127" s="35">
        <v>45513</v>
      </c>
      <c r="F127" s="40"/>
      <c r="G127" s="40"/>
      <c r="H127" s="5"/>
      <c r="I127" s="102"/>
      <c r="J127" s="40">
        <v>60</v>
      </c>
      <c r="K127" s="40"/>
      <c r="L127" s="6">
        <v>105</v>
      </c>
      <c r="M127" s="6">
        <v>36</v>
      </c>
      <c r="N127" s="70">
        <f t="shared" si="2"/>
        <v>48.3</v>
      </c>
    </row>
    <row r="128" spans="1:14">
      <c r="A128" s="44" t="s">
        <v>389</v>
      </c>
      <c r="B128" s="44"/>
      <c r="C128" s="35"/>
      <c r="D128" s="35">
        <v>45574</v>
      </c>
      <c r="E128" s="35">
        <v>45574</v>
      </c>
      <c r="F128" s="40"/>
      <c r="G128" s="40"/>
      <c r="H128" s="5"/>
      <c r="I128" s="102"/>
      <c r="J128" s="40"/>
      <c r="K128" s="40"/>
      <c r="L128" s="6">
        <v>10</v>
      </c>
      <c r="M128" s="6">
        <v>1</v>
      </c>
      <c r="N128" s="59">
        <f t="shared" si="2"/>
        <v>6.3</v>
      </c>
    </row>
    <row r="129" spans="1:14">
      <c r="A129" s="44" t="s">
        <v>397</v>
      </c>
      <c r="B129" s="44"/>
      <c r="C129" s="35"/>
      <c r="D129" s="35">
        <v>45510</v>
      </c>
      <c r="E129" s="35">
        <v>45574</v>
      </c>
      <c r="F129" s="40"/>
      <c r="G129" s="40"/>
      <c r="H129" s="5">
        <v>31.89</v>
      </c>
      <c r="I129" s="102">
        <f>79/30*63*0.5</f>
        <v>82.95</v>
      </c>
      <c r="J129" s="40">
        <v>60</v>
      </c>
      <c r="K129" s="40"/>
      <c r="L129" s="6">
        <v>174</v>
      </c>
      <c r="M129" s="6">
        <v>79</v>
      </c>
      <c r="N129" s="59">
        <f t="shared" si="2"/>
        <v>66.5</v>
      </c>
    </row>
    <row r="130" spans="1:14">
      <c r="A130" s="44" t="s">
        <v>398</v>
      </c>
      <c r="B130" s="44"/>
      <c r="C130" s="35"/>
      <c r="D130" s="35">
        <v>45516</v>
      </c>
      <c r="E130" s="35">
        <v>45583</v>
      </c>
      <c r="F130" s="40"/>
      <c r="G130" s="40"/>
      <c r="H130" s="5"/>
      <c r="I130" s="102">
        <f>56.5/30*66*0.5</f>
        <v>62.15</v>
      </c>
      <c r="J130" s="40">
        <v>75</v>
      </c>
      <c r="K130" s="40"/>
      <c r="L130" s="6">
        <v>140</v>
      </c>
      <c r="M130" s="6">
        <v>56.5</v>
      </c>
      <c r="N130" s="59">
        <f t="shared" si="2"/>
        <v>58.449999999999996</v>
      </c>
    </row>
    <row r="131" spans="1:14">
      <c r="A131" s="44" t="s">
        <v>390</v>
      </c>
      <c r="B131" s="44"/>
      <c r="C131" s="35"/>
      <c r="D131" s="35">
        <v>45573</v>
      </c>
      <c r="E131" s="35">
        <v>45621</v>
      </c>
      <c r="F131" s="40"/>
      <c r="G131" s="40"/>
      <c r="H131" s="5">
        <v>16.940000000000001</v>
      </c>
      <c r="I131" s="102">
        <f>47.5/30*47</f>
        <v>74.416666666666657</v>
      </c>
      <c r="J131" s="40">
        <v>60</v>
      </c>
      <c r="K131" s="40"/>
      <c r="L131" s="6">
        <v>130</v>
      </c>
      <c r="M131" s="6">
        <v>63.5</v>
      </c>
      <c r="N131" s="59">
        <f>(L131-M131)*0.7</f>
        <v>46.55</v>
      </c>
    </row>
    <row r="132" spans="1:14">
      <c r="A132" s="44" t="s">
        <v>406</v>
      </c>
      <c r="B132" s="44"/>
      <c r="C132" s="35">
        <v>45624</v>
      </c>
      <c r="D132" s="35">
        <v>45631</v>
      </c>
      <c r="E132" s="35">
        <v>45631</v>
      </c>
      <c r="F132" s="40"/>
      <c r="G132" s="40"/>
      <c r="H132" s="5">
        <v>13.98</v>
      </c>
      <c r="I132" s="102"/>
      <c r="J132" s="40">
        <v>15</v>
      </c>
      <c r="K132" s="40"/>
      <c r="L132" s="6">
        <v>59</v>
      </c>
      <c r="M132" s="6">
        <v>38</v>
      </c>
      <c r="N132" s="59">
        <f>(L132-M132)*0.7</f>
        <v>14.7</v>
      </c>
    </row>
    <row r="133" spans="1:14">
      <c r="A133" s="44" t="s">
        <v>410</v>
      </c>
      <c r="B133" s="44"/>
      <c r="C133" s="35"/>
      <c r="D133" s="35"/>
      <c r="E133" s="35">
        <v>45613</v>
      </c>
      <c r="F133" s="40"/>
      <c r="G133" s="40"/>
      <c r="H133" s="5">
        <v>10</v>
      </c>
      <c r="I133" s="102">
        <f>-(14*14+14/30*13)</f>
        <v>-202.06666666666666</v>
      </c>
      <c r="J133" s="40">
        <v>15</v>
      </c>
      <c r="K133" s="40"/>
      <c r="L133" s="6">
        <v>30</v>
      </c>
      <c r="M133" s="6">
        <v>10</v>
      </c>
      <c r="N133" s="59">
        <f t="shared" ref="N133" si="3">(L133-M133)*0.7</f>
        <v>14</v>
      </c>
    </row>
    <row r="134" spans="1:14">
      <c r="A134" s="44" t="s">
        <v>408</v>
      </c>
      <c r="B134" s="44"/>
      <c r="C134" s="35"/>
      <c r="D134" s="35">
        <v>45642</v>
      </c>
      <c r="E134" s="35">
        <v>45706</v>
      </c>
      <c r="F134" s="40"/>
      <c r="G134" s="40"/>
      <c r="H134" s="5">
        <v>31.21</v>
      </c>
      <c r="I134" s="102">
        <f>50/30*62</f>
        <v>103.33333333333334</v>
      </c>
      <c r="J134" s="40">
        <f>15*7</f>
        <v>105</v>
      </c>
      <c r="K134" s="40"/>
      <c r="L134" s="6">
        <v>210</v>
      </c>
      <c r="M134" s="6">
        <v>94</v>
      </c>
      <c r="N134" s="59">
        <f t="shared" ref="N134:N139" si="4">(L134-M134)*0.7</f>
        <v>81.199999999999989</v>
      </c>
    </row>
    <row r="135" spans="1:14">
      <c r="A135" s="44" t="s">
        <v>402</v>
      </c>
      <c r="B135" s="44"/>
      <c r="C135" s="35"/>
      <c r="D135" s="35">
        <v>45637</v>
      </c>
      <c r="E135" s="35">
        <v>45698</v>
      </c>
      <c r="F135" s="40"/>
      <c r="G135" s="40"/>
      <c r="H135" s="5">
        <v>13.98</v>
      </c>
      <c r="I135" s="102">
        <f>45/30*59</f>
        <v>88.5</v>
      </c>
      <c r="J135" s="40">
        <v>30</v>
      </c>
      <c r="K135" s="40"/>
      <c r="L135" s="6">
        <v>120</v>
      </c>
      <c r="M135" s="6">
        <v>45</v>
      </c>
      <c r="N135" s="59">
        <f t="shared" si="4"/>
        <v>52.5</v>
      </c>
    </row>
    <row r="136" spans="1:14">
      <c r="A136" s="44" t="s">
        <v>392</v>
      </c>
      <c r="B136" s="44"/>
      <c r="C136" s="35"/>
      <c r="D136" s="35"/>
      <c r="E136" s="35">
        <v>45694</v>
      </c>
      <c r="F136" s="40"/>
      <c r="G136" s="40"/>
      <c r="H136" s="5">
        <v>31.89</v>
      </c>
      <c r="I136" s="102" t="s">
        <v>414</v>
      </c>
      <c r="J136" s="40">
        <v>75</v>
      </c>
      <c r="K136" s="40"/>
      <c r="L136" s="6">
        <v>145</v>
      </c>
      <c r="M136" s="6">
        <v>72</v>
      </c>
      <c r="N136" s="59">
        <f t="shared" si="4"/>
        <v>51.099999999999994</v>
      </c>
    </row>
    <row r="137" spans="1:14">
      <c r="A137" s="44" t="s">
        <v>413</v>
      </c>
      <c r="B137" s="44"/>
      <c r="C137" s="35"/>
      <c r="D137" s="35"/>
      <c r="E137" s="35">
        <v>45730</v>
      </c>
      <c r="F137" s="40"/>
      <c r="G137" s="40"/>
      <c r="H137" s="5">
        <v>15.34</v>
      </c>
      <c r="I137" s="102"/>
      <c r="J137" s="40"/>
      <c r="K137" s="40"/>
      <c r="L137" s="6">
        <v>80</v>
      </c>
      <c r="M137" s="6">
        <v>28</v>
      </c>
      <c r="N137" s="59">
        <f t="shared" si="4"/>
        <v>36.4</v>
      </c>
    </row>
    <row r="138" spans="1:14">
      <c r="A138" s="44" t="s">
        <v>418</v>
      </c>
      <c r="B138" s="44"/>
      <c r="C138" s="35"/>
      <c r="D138" s="35"/>
      <c r="E138" s="35">
        <v>45737</v>
      </c>
      <c r="F138" s="40"/>
      <c r="G138" s="40"/>
      <c r="H138" s="5">
        <v>32.17</v>
      </c>
      <c r="I138" s="102"/>
      <c r="J138" s="40">
        <v>90</v>
      </c>
      <c r="K138" s="40"/>
      <c r="L138" s="6">
        <v>150</v>
      </c>
      <c r="M138" s="6">
        <v>43</v>
      </c>
      <c r="N138" s="59">
        <f t="shared" si="4"/>
        <v>74.899999999999991</v>
      </c>
    </row>
    <row r="139" spans="1:14">
      <c r="A139" s="44" t="s">
        <v>417</v>
      </c>
      <c r="B139" s="44"/>
      <c r="C139" s="35"/>
      <c r="D139" s="35"/>
      <c r="E139" s="35">
        <v>45687</v>
      </c>
      <c r="F139" s="40"/>
      <c r="G139" s="40"/>
      <c r="H139" s="5"/>
      <c r="I139" s="102"/>
      <c r="J139" s="40">
        <v>40</v>
      </c>
      <c r="K139" s="40"/>
      <c r="L139" s="6">
        <v>59</v>
      </c>
      <c r="M139" s="6">
        <v>43</v>
      </c>
      <c r="N139" s="59">
        <f t="shared" si="4"/>
        <v>11.2</v>
      </c>
    </row>
    <row r="140" spans="1:14">
      <c r="A140" s="44" t="s">
        <v>423</v>
      </c>
      <c r="B140" s="44"/>
      <c r="C140" s="35"/>
      <c r="D140" s="35"/>
      <c r="E140" s="35">
        <v>45714</v>
      </c>
      <c r="F140" s="40"/>
      <c r="G140" s="40"/>
      <c r="H140" s="5"/>
      <c r="I140" s="102"/>
      <c r="J140" s="40"/>
      <c r="K140" s="40"/>
      <c r="L140" s="6">
        <v>50</v>
      </c>
      <c r="M140" s="6">
        <v>41</v>
      </c>
      <c r="N140" s="59">
        <f>(L140-M140)*0.7</f>
        <v>6.3</v>
      </c>
    </row>
    <row r="141" spans="1:14">
      <c r="A141" s="44" t="s">
        <v>424</v>
      </c>
      <c r="B141" s="44"/>
      <c r="C141" s="35"/>
      <c r="D141" s="35"/>
      <c r="E141" s="35">
        <v>45750</v>
      </c>
      <c r="F141" s="40"/>
      <c r="G141" s="40"/>
      <c r="H141" s="5">
        <v>15.34</v>
      </c>
      <c r="I141" s="102"/>
      <c r="J141" s="40">
        <v>30</v>
      </c>
      <c r="K141" s="40"/>
      <c r="L141" s="6">
        <v>45</v>
      </c>
      <c r="M141" s="6">
        <v>7</v>
      </c>
      <c r="N141" s="59">
        <f>(L141-M141)*0.7</f>
        <v>26.599999999999998</v>
      </c>
    </row>
    <row r="142" spans="1:14">
      <c r="A142" s="10" t="s">
        <v>425</v>
      </c>
      <c r="B142" s="44"/>
      <c r="C142" s="35"/>
      <c r="D142" s="35"/>
      <c r="E142" s="35">
        <v>45765</v>
      </c>
      <c r="F142" s="40"/>
      <c r="G142" s="40"/>
      <c r="H142" s="5">
        <v>14.54</v>
      </c>
      <c r="I142" s="102"/>
      <c r="J142" s="40">
        <v>75</v>
      </c>
      <c r="K142" s="40"/>
      <c r="L142" s="6">
        <v>220</v>
      </c>
      <c r="M142" s="6">
        <v>99</v>
      </c>
      <c r="N142" s="59">
        <f>(L142-M142)*0.7/30*12</f>
        <v>33.879999999999995</v>
      </c>
    </row>
    <row r="143" spans="1:14">
      <c r="A143" s="76"/>
      <c r="B143" s="76"/>
      <c r="C143" s="36"/>
      <c r="D143" s="36"/>
      <c r="E143" s="36"/>
      <c r="F143" s="71"/>
      <c r="G143" s="71"/>
      <c r="H143" s="16"/>
      <c r="I143" s="109"/>
      <c r="J143" s="71"/>
      <c r="K143" s="71"/>
      <c r="L143" s="17"/>
      <c r="M143" s="18"/>
      <c r="N143" s="70"/>
    </row>
    <row r="144" spans="1:14">
      <c r="C144" s="36"/>
      <c r="D144" s="36"/>
      <c r="F144" s="28"/>
      <c r="G144" s="28"/>
      <c r="H144" s="30"/>
      <c r="I144" s="30"/>
      <c r="M144" s="62" t="s">
        <v>4</v>
      </c>
      <c r="N144" s="18">
        <f>SUM(N2:N142)</f>
        <v>5164.3599999999988</v>
      </c>
    </row>
    <row r="145" spans="1:16">
      <c r="C145" s="36"/>
      <c r="D145" s="36"/>
      <c r="F145" s="28"/>
      <c r="G145" s="28"/>
      <c r="H145" s="30"/>
      <c r="I145" s="104"/>
      <c r="M145" s="61" t="s">
        <v>251</v>
      </c>
      <c r="N145" s="6">
        <f>N144-J142-H142+1263.72</f>
        <v>6338.5399999999991</v>
      </c>
    </row>
    <row r="146" spans="1:16">
      <c r="C146" s="36"/>
      <c r="D146" s="36"/>
      <c r="F146" s="28"/>
      <c r="G146" s="28"/>
      <c r="H146" s="30"/>
      <c r="I146" s="104"/>
    </row>
    <row r="148" spans="1:16">
      <c r="A148" s="28"/>
      <c r="B148" s="28"/>
      <c r="E148" s="15"/>
      <c r="F148" s="1"/>
      <c r="G148" s="1"/>
      <c r="H148" s="1"/>
      <c r="J148" s="1"/>
      <c r="K148" s="1"/>
      <c r="L148" s="1"/>
      <c r="M148" s="1"/>
      <c r="N148" s="29"/>
    </row>
    <row r="149" spans="1:16">
      <c r="K149" t="s">
        <v>419</v>
      </c>
      <c r="L149" s="1"/>
      <c r="M149" s="1"/>
      <c r="N149">
        <f>-85*3-104.3</f>
        <v>-359.3</v>
      </c>
      <c r="O149" t="s">
        <v>428</v>
      </c>
    </row>
    <row r="150" spans="1:16">
      <c r="H150" s="30"/>
      <c r="K150" t="s">
        <v>420</v>
      </c>
      <c r="L150" s="1"/>
      <c r="M150"/>
      <c r="N150">
        <f>-185.92</f>
        <v>-185.92</v>
      </c>
      <c r="O150" t="s">
        <v>421</v>
      </c>
    </row>
    <row r="151" spans="1:16">
      <c r="K151" t="s">
        <v>422</v>
      </c>
      <c r="M151"/>
      <c r="N151">
        <v>1823.04</v>
      </c>
      <c r="P151" s="42"/>
    </row>
    <row r="152" spans="1:16">
      <c r="K152" t="s">
        <v>427</v>
      </c>
      <c r="L152" s="1"/>
      <c r="N152" s="108">
        <f>-14.1</f>
        <v>-14.1</v>
      </c>
      <c r="P152" s="42"/>
    </row>
    <row r="153" spans="1:16">
      <c r="L153" s="1"/>
    </row>
    <row r="154" spans="1:16">
      <c r="L154" s="1"/>
      <c r="N154" s="1"/>
      <c r="P154" s="42"/>
    </row>
    <row r="155" spans="1:16">
      <c r="L155" s="1"/>
    </row>
    <row r="156" spans="1:16">
      <c r="L156" s="1"/>
    </row>
  </sheetData>
  <autoFilter ref="A1:P145">
    <sortState ref="A2:P93">
      <sortCondition ref="B1:B93"/>
    </sortState>
  </autoFilter>
  <pageMargins left="0.7" right="0.7" top="0.75" bottom="0.75" header="0.3" footer="0.3"/>
  <pageSetup paperSize="9" orientation="portrait" r:id="rId1"/>
</worksheet>
</file>

<file path=xl/worksheets/sheet97.xml><?xml version="1.0" encoding="utf-8"?>
<worksheet xmlns="http://schemas.openxmlformats.org/spreadsheetml/2006/main" xmlns:r="http://schemas.openxmlformats.org/officeDocument/2006/relationships">
  <dimension ref="A1:P157"/>
  <sheetViews>
    <sheetView topLeftCell="B138" workbookViewId="0">
      <selection activeCell="G151" sqref="G151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1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31</v>
      </c>
      <c r="B13" s="2"/>
      <c r="C13" s="4">
        <v>42735</v>
      </c>
      <c r="D13" s="4"/>
      <c r="E13" s="4">
        <v>42782</v>
      </c>
      <c r="F13" s="5">
        <v>50</v>
      </c>
      <c r="G13" s="49"/>
      <c r="H13" s="5">
        <v>20.63</v>
      </c>
      <c r="I13" s="102">
        <f>M13/30*46</f>
        <v>42.933333333333337</v>
      </c>
      <c r="J13" s="5"/>
      <c r="K13" s="5"/>
      <c r="L13" s="6">
        <v>92</v>
      </c>
      <c r="M13" s="61">
        <v>28</v>
      </c>
      <c r="N13" s="6">
        <f t="shared" si="0"/>
        <v>44.8</v>
      </c>
    </row>
    <row r="14" spans="1:15">
      <c r="A14" s="2" t="s">
        <v>32</v>
      </c>
      <c r="B14" s="2"/>
      <c r="C14" s="4">
        <v>42857</v>
      </c>
      <c r="D14" s="4"/>
      <c r="E14" s="4">
        <v>42866</v>
      </c>
      <c r="F14" s="5"/>
      <c r="G14" s="49"/>
      <c r="H14" s="5"/>
      <c r="I14" s="102">
        <f>23/30*9</f>
        <v>6.9</v>
      </c>
      <c r="J14" s="5">
        <f>60*0.7</f>
        <v>42</v>
      </c>
      <c r="K14" s="5"/>
      <c r="L14" s="6">
        <v>60</v>
      </c>
      <c r="M14" s="61">
        <v>23</v>
      </c>
      <c r="N14" s="6">
        <f t="shared" si="0"/>
        <v>25.9</v>
      </c>
    </row>
    <row r="15" spans="1:15">
      <c r="A15" s="2" t="s">
        <v>37</v>
      </c>
      <c r="B15" s="2"/>
      <c r="C15" s="4">
        <v>42891</v>
      </c>
      <c r="D15" s="4"/>
      <c r="E15" s="4">
        <v>42915</v>
      </c>
      <c r="F15" s="5"/>
      <c r="G15" s="49"/>
      <c r="H15" s="5">
        <v>6.83</v>
      </c>
      <c r="I15" s="102">
        <f>24/30*24</f>
        <v>19.200000000000003</v>
      </c>
      <c r="J15" s="5"/>
      <c r="K15" s="5"/>
      <c r="L15" s="6">
        <v>70</v>
      </c>
      <c r="M15" s="61">
        <v>24</v>
      </c>
      <c r="N15" s="6">
        <f t="shared" si="0"/>
        <v>32.199999999999996</v>
      </c>
    </row>
    <row r="16" spans="1:15">
      <c r="A16" s="2" t="s">
        <v>39</v>
      </c>
      <c r="B16" s="2"/>
      <c r="C16" s="4">
        <v>43081</v>
      </c>
      <c r="D16" s="4"/>
      <c r="E16" s="4">
        <v>43109</v>
      </c>
      <c r="F16" s="5"/>
      <c r="G16" s="49"/>
      <c r="H16" s="5">
        <v>9.83</v>
      </c>
      <c r="I16" s="102">
        <f>36/30*28</f>
        <v>33.6</v>
      </c>
      <c r="J16" s="5"/>
      <c r="K16" s="5"/>
      <c r="L16" s="6">
        <v>120</v>
      </c>
      <c r="M16" s="61">
        <v>36</v>
      </c>
      <c r="N16" s="6">
        <f t="shared" si="0"/>
        <v>58.8</v>
      </c>
    </row>
    <row r="17" spans="1:15">
      <c r="A17" s="22" t="s">
        <v>56</v>
      </c>
      <c r="B17" s="22"/>
      <c r="C17" s="4">
        <v>43361</v>
      </c>
      <c r="D17" s="4"/>
      <c r="E17" s="4">
        <v>43132</v>
      </c>
      <c r="F17" s="5"/>
      <c r="G17" s="49"/>
      <c r="H17" s="5">
        <v>14.11</v>
      </c>
      <c r="I17" s="102">
        <f>25*4+25/30*12</f>
        <v>110</v>
      </c>
      <c r="J17" s="5"/>
      <c r="K17" s="5"/>
      <c r="L17" s="6">
        <v>75</v>
      </c>
      <c r="M17" s="61">
        <v>25</v>
      </c>
      <c r="N17" s="6">
        <f t="shared" si="0"/>
        <v>35</v>
      </c>
    </row>
    <row r="18" spans="1:15">
      <c r="A18" s="2" t="s">
        <v>44</v>
      </c>
      <c r="B18" s="2"/>
      <c r="C18" s="4">
        <v>43196</v>
      </c>
      <c r="D18" s="4"/>
      <c r="E18" s="4">
        <v>43250</v>
      </c>
      <c r="F18" s="5"/>
      <c r="G18" s="49"/>
      <c r="H18" s="5">
        <v>13.78</v>
      </c>
      <c r="I18" s="102">
        <f>25*24/30+25</f>
        <v>45</v>
      </c>
      <c r="J18" s="5"/>
      <c r="K18" s="5"/>
      <c r="L18" s="6">
        <v>11</v>
      </c>
      <c r="M18" s="61">
        <v>25</v>
      </c>
      <c r="N18" s="6">
        <v>9.7999999999999989</v>
      </c>
    </row>
    <row r="19" spans="1:15">
      <c r="A19" s="22" t="s">
        <v>47</v>
      </c>
      <c r="B19" s="22"/>
      <c r="C19" s="4">
        <v>43355</v>
      </c>
      <c r="D19" s="4"/>
      <c r="E19" s="4">
        <v>43277</v>
      </c>
      <c r="F19" s="5"/>
      <c r="G19" s="49"/>
      <c r="H19" s="5">
        <v>19.98</v>
      </c>
      <c r="I19" s="102">
        <f>36*2+36/30*16</f>
        <v>91.2</v>
      </c>
      <c r="J19" s="5"/>
      <c r="K19" s="5"/>
      <c r="L19" s="6">
        <v>105</v>
      </c>
      <c r="M19" s="61">
        <v>36</v>
      </c>
      <c r="N19" s="6">
        <f t="shared" si="0"/>
        <v>48.3</v>
      </c>
    </row>
    <row r="20" spans="1:15">
      <c r="A20" s="22" t="s">
        <v>48</v>
      </c>
      <c r="B20" s="22"/>
      <c r="C20" s="4">
        <v>43367</v>
      </c>
      <c r="D20" s="4"/>
      <c r="E20" s="4">
        <v>43284</v>
      </c>
      <c r="F20" s="5"/>
      <c r="G20" s="49"/>
      <c r="H20" s="5">
        <v>9.1</v>
      </c>
      <c r="I20" s="102">
        <f>25+25/30*27</f>
        <v>47.5</v>
      </c>
      <c r="J20" s="5"/>
      <c r="K20" s="5"/>
      <c r="L20" s="6">
        <v>75</v>
      </c>
      <c r="M20" s="61">
        <v>25</v>
      </c>
      <c r="N20" s="6">
        <f t="shared" si="0"/>
        <v>35</v>
      </c>
    </row>
    <row r="21" spans="1:15">
      <c r="A21" s="2" t="s">
        <v>45</v>
      </c>
      <c r="B21" s="2"/>
      <c r="C21" s="4"/>
      <c r="D21" s="4"/>
      <c r="E21" s="4">
        <v>43286</v>
      </c>
      <c r="F21" s="5"/>
      <c r="G21" s="49"/>
      <c r="H21" s="5">
        <v>11.56</v>
      </c>
      <c r="I21" s="102"/>
      <c r="J21" s="5"/>
      <c r="K21" s="5"/>
      <c r="L21" s="6">
        <v>150</v>
      </c>
      <c r="M21" s="61">
        <v>76</v>
      </c>
      <c r="N21" s="6">
        <f t="shared" si="0"/>
        <v>51.8</v>
      </c>
      <c r="O21" s="20"/>
    </row>
    <row r="22" spans="1:15">
      <c r="A22" s="22" t="s">
        <v>49</v>
      </c>
      <c r="B22" s="22"/>
      <c r="C22" s="4">
        <v>43367</v>
      </c>
      <c r="D22" s="4"/>
      <c r="E22" s="4">
        <v>43291</v>
      </c>
      <c r="F22" s="5"/>
      <c r="G22" s="49"/>
      <c r="H22" s="5">
        <v>10.039999999999999</v>
      </c>
      <c r="I22" s="102">
        <f>50+25/30*14</f>
        <v>61.666666666666671</v>
      </c>
      <c r="J22" s="5"/>
      <c r="K22" s="5"/>
      <c r="L22" s="6">
        <v>50</v>
      </c>
      <c r="M22" s="61">
        <v>22</v>
      </c>
      <c r="N22" s="18">
        <f t="shared" si="0"/>
        <v>19.599999999999998</v>
      </c>
    </row>
    <row r="23" spans="1:15">
      <c r="A23" s="22" t="s">
        <v>51</v>
      </c>
      <c r="B23" s="22"/>
      <c r="C23" s="4">
        <v>43358</v>
      </c>
      <c r="D23" s="4"/>
      <c r="E23" s="4">
        <v>43291</v>
      </c>
      <c r="F23" s="5"/>
      <c r="G23" s="49"/>
      <c r="H23" s="5">
        <v>10.039999999999999</v>
      </c>
      <c r="I23" s="102">
        <f>50+25/30*5</f>
        <v>54.166666666666664</v>
      </c>
      <c r="J23" s="5"/>
      <c r="K23" s="5"/>
      <c r="L23" s="6">
        <v>75</v>
      </c>
      <c r="M23" s="61">
        <v>25</v>
      </c>
      <c r="N23" s="6">
        <f t="shared" si="0"/>
        <v>35</v>
      </c>
    </row>
    <row r="24" spans="1:15">
      <c r="A24" s="22" t="s">
        <v>52</v>
      </c>
      <c r="B24" s="22"/>
      <c r="C24" s="4">
        <v>43367</v>
      </c>
      <c r="D24" s="4"/>
      <c r="E24" s="4">
        <v>43308</v>
      </c>
      <c r="F24" s="5"/>
      <c r="G24" s="49"/>
      <c r="H24" s="5">
        <v>10.86</v>
      </c>
      <c r="I24" s="102">
        <f>25+25/30*27</f>
        <v>47.5</v>
      </c>
      <c r="J24" s="5"/>
      <c r="K24" s="5"/>
      <c r="L24" s="6">
        <v>75</v>
      </c>
      <c r="M24" s="61">
        <v>25</v>
      </c>
      <c r="N24" s="27">
        <f t="shared" si="0"/>
        <v>35</v>
      </c>
    </row>
    <row r="25" spans="1:15">
      <c r="A25" s="22" t="s">
        <v>50</v>
      </c>
      <c r="B25" s="22"/>
      <c r="C25" s="4">
        <v>43367</v>
      </c>
      <c r="D25" s="4"/>
      <c r="E25" s="4">
        <v>43312</v>
      </c>
      <c r="F25" s="5"/>
      <c r="G25" s="49"/>
      <c r="H25" s="5">
        <v>10.86</v>
      </c>
      <c r="I25" s="102">
        <f>25+25/30*24</f>
        <v>45</v>
      </c>
      <c r="J25" s="5"/>
      <c r="K25" s="5"/>
      <c r="L25" s="6">
        <v>70</v>
      </c>
      <c r="M25" s="61">
        <v>25</v>
      </c>
      <c r="N25" s="6">
        <f t="shared" si="0"/>
        <v>31.499999999999996</v>
      </c>
    </row>
    <row r="26" spans="1:15">
      <c r="A26" s="22" t="s">
        <v>55</v>
      </c>
      <c r="B26" s="22"/>
      <c r="C26" s="4">
        <v>43363</v>
      </c>
      <c r="D26" s="4"/>
      <c r="E26" s="4">
        <v>43440</v>
      </c>
      <c r="F26" s="5"/>
      <c r="G26" s="49"/>
      <c r="H26" s="5">
        <v>14.11</v>
      </c>
      <c r="I26" s="102">
        <f>25*2+25*16/30</f>
        <v>63.333333333333336</v>
      </c>
      <c r="J26" s="5"/>
      <c r="K26" s="5"/>
      <c r="L26" s="6">
        <v>75</v>
      </c>
      <c r="M26" s="61">
        <v>25</v>
      </c>
      <c r="N26" s="6">
        <f t="shared" si="0"/>
        <v>35</v>
      </c>
    </row>
    <row r="27" spans="1:15">
      <c r="A27" s="22" t="s">
        <v>54</v>
      </c>
      <c r="B27" s="22"/>
      <c r="C27" s="4">
        <v>43167</v>
      </c>
      <c r="D27" s="4"/>
      <c r="E27" s="4">
        <v>43455</v>
      </c>
      <c r="F27" s="5"/>
      <c r="G27" s="49"/>
      <c r="H27" s="5">
        <v>10.86</v>
      </c>
      <c r="I27" s="102">
        <f>9*25+25*13/30</f>
        <v>235.83333333333334</v>
      </c>
      <c r="J27" s="5"/>
      <c r="K27" s="5"/>
      <c r="L27" s="6">
        <v>90</v>
      </c>
      <c r="M27" s="61">
        <v>36</v>
      </c>
      <c r="N27" s="6">
        <f t="shared" si="0"/>
        <v>37.799999999999997</v>
      </c>
    </row>
    <row r="28" spans="1:15">
      <c r="A28" s="22" t="s">
        <v>57</v>
      </c>
      <c r="B28" s="55"/>
      <c r="C28" s="31">
        <v>43478</v>
      </c>
      <c r="D28" s="31"/>
      <c r="E28" s="4">
        <v>43536</v>
      </c>
      <c r="F28" s="5"/>
      <c r="G28" s="49"/>
      <c r="H28" s="5">
        <v>10.86</v>
      </c>
      <c r="I28" s="102">
        <v>25</v>
      </c>
      <c r="J28" s="5"/>
      <c r="K28" s="5"/>
      <c r="L28" s="6">
        <v>70</v>
      </c>
      <c r="M28" s="61">
        <v>25</v>
      </c>
      <c r="N28" s="6">
        <f t="shared" si="0"/>
        <v>31.499999999999996</v>
      </c>
    </row>
    <row r="29" spans="1:15">
      <c r="A29" s="22" t="s">
        <v>59</v>
      </c>
      <c r="B29" s="22"/>
      <c r="C29" s="4">
        <v>43528</v>
      </c>
      <c r="D29" s="4"/>
      <c r="E29" s="4">
        <v>43538</v>
      </c>
      <c r="F29" s="5"/>
      <c r="G29" s="49"/>
      <c r="H29" s="5">
        <v>14.92</v>
      </c>
      <c r="I29" s="102">
        <f>77/30*10</f>
        <v>25.666666666666668</v>
      </c>
      <c r="J29" s="5"/>
      <c r="K29" s="5"/>
      <c r="L29" s="6">
        <v>169</v>
      </c>
      <c r="M29" s="61">
        <f>64+11+2</f>
        <v>77</v>
      </c>
      <c r="N29" s="6">
        <f t="shared" si="0"/>
        <v>64.399999999999991</v>
      </c>
    </row>
    <row r="30" spans="1:15">
      <c r="A30" s="22" t="s">
        <v>58</v>
      </c>
      <c r="B30" s="22"/>
      <c r="C30" s="4">
        <v>43534</v>
      </c>
      <c r="D30" s="4"/>
      <c r="E30" s="4">
        <v>43542</v>
      </c>
      <c r="F30" s="5"/>
      <c r="G30" s="49"/>
      <c r="H30" s="5">
        <f>10.86*2</f>
        <v>21.72</v>
      </c>
      <c r="I30" s="102">
        <v>0</v>
      </c>
      <c r="J30" s="5"/>
      <c r="K30" s="5"/>
      <c r="L30" s="6">
        <v>30</v>
      </c>
      <c r="M30" s="61">
        <v>22</v>
      </c>
      <c r="N30" s="6">
        <v>18.899999999999999</v>
      </c>
    </row>
    <row r="31" spans="1:15">
      <c r="A31" s="22" t="s">
        <v>61</v>
      </c>
      <c r="B31" s="22"/>
      <c r="C31" s="4">
        <v>43482</v>
      </c>
      <c r="D31" s="4"/>
      <c r="E31" s="4">
        <v>43542</v>
      </c>
      <c r="F31" s="5"/>
      <c r="G31" s="49"/>
      <c r="H31" s="5">
        <v>11.1</v>
      </c>
      <c r="I31" s="102">
        <f>25*2</f>
        <v>50</v>
      </c>
      <c r="J31" s="5"/>
      <c r="K31" s="5"/>
      <c r="L31" s="6">
        <v>70</v>
      </c>
      <c r="M31" s="61">
        <v>26</v>
      </c>
      <c r="N31" s="6">
        <f t="shared" si="0"/>
        <v>30.799999999999997</v>
      </c>
    </row>
    <row r="32" spans="1:15">
      <c r="A32" s="22" t="s">
        <v>67</v>
      </c>
      <c r="B32" s="22"/>
      <c r="C32" s="4">
        <v>43600</v>
      </c>
      <c r="D32" s="4"/>
      <c r="E32" s="4">
        <v>43629</v>
      </c>
      <c r="F32" s="5"/>
      <c r="G32" s="49"/>
      <c r="H32" s="5">
        <f>10.86*2</f>
        <v>21.72</v>
      </c>
      <c r="I32" s="102">
        <f>22/30*58</f>
        <v>42.533333333333331</v>
      </c>
      <c r="J32" s="5">
        <v>50</v>
      </c>
      <c r="K32" s="5">
        <f>H32+I32+J32</f>
        <v>114.25333333333333</v>
      </c>
      <c r="L32" s="6">
        <v>60</v>
      </c>
      <c r="M32" s="61">
        <v>25</v>
      </c>
      <c r="N32" s="6">
        <v>0</v>
      </c>
    </row>
    <row r="33" spans="1:16">
      <c r="A33" s="22" t="s">
        <v>66</v>
      </c>
      <c r="B33" s="22"/>
      <c r="C33" s="4">
        <v>43600</v>
      </c>
      <c r="D33" s="4"/>
      <c r="E33" s="4">
        <v>43629</v>
      </c>
      <c r="F33" s="5"/>
      <c r="G33" s="49"/>
      <c r="H33" s="5">
        <f>10.86</f>
        <v>10.86</v>
      </c>
      <c r="I33" s="102">
        <f>39/30*58</f>
        <v>75.400000000000006</v>
      </c>
      <c r="J33" s="5"/>
      <c r="K33" s="5">
        <f>H33+I33</f>
        <v>86.26</v>
      </c>
      <c r="L33" s="6">
        <v>110</v>
      </c>
      <c r="M33" s="61">
        <f>25+11+3</f>
        <v>39</v>
      </c>
      <c r="N33" s="6">
        <v>0</v>
      </c>
      <c r="O33" t="s">
        <v>73</v>
      </c>
    </row>
    <row r="34" spans="1:16">
      <c r="A34" s="22" t="s">
        <v>64</v>
      </c>
      <c r="B34" s="22"/>
      <c r="C34" s="4">
        <v>43627</v>
      </c>
      <c r="D34" s="4"/>
      <c r="E34" s="4">
        <v>43629</v>
      </c>
      <c r="F34" s="5"/>
      <c r="G34" s="49"/>
      <c r="H34" s="5">
        <v>10.86</v>
      </c>
      <c r="I34" s="102">
        <f>25/30*2</f>
        <v>1.6666666666666667</v>
      </c>
      <c r="J34" s="5"/>
      <c r="K34" s="5">
        <f>H34+I34</f>
        <v>12.526666666666666</v>
      </c>
      <c r="L34" s="6">
        <v>200</v>
      </c>
      <c r="M34" s="61">
        <v>11</v>
      </c>
      <c r="N34" s="5">
        <f t="shared" ref="N34:N45" si="1">(L34-M34)*0.7</f>
        <v>132.29999999999998</v>
      </c>
    </row>
    <row r="35" spans="1:16">
      <c r="A35" s="22" t="s">
        <v>65</v>
      </c>
      <c r="B35" s="22"/>
      <c r="C35" s="4">
        <v>43622</v>
      </c>
      <c r="D35" s="4"/>
      <c r="E35" s="4">
        <v>43650</v>
      </c>
      <c r="F35" s="5"/>
      <c r="G35" s="49"/>
      <c r="H35" s="5">
        <v>10.86</v>
      </c>
      <c r="I35" s="102"/>
      <c r="J35" s="5"/>
      <c r="K35" s="5"/>
      <c r="L35" s="6">
        <v>120</v>
      </c>
      <c r="M35" s="61">
        <v>60</v>
      </c>
      <c r="N35" s="6">
        <f t="shared" si="1"/>
        <v>42</v>
      </c>
    </row>
    <row r="36" spans="1:16">
      <c r="A36" s="22" t="s">
        <v>71</v>
      </c>
      <c r="B36" s="22"/>
      <c r="C36" s="4">
        <v>43635</v>
      </c>
      <c r="D36" s="4"/>
      <c r="E36" s="4">
        <v>43662</v>
      </c>
      <c r="F36" s="5"/>
      <c r="G36" s="49"/>
      <c r="H36" s="5">
        <f>10.86*2</f>
        <v>21.72</v>
      </c>
      <c r="I36" s="102"/>
      <c r="J36" s="5"/>
      <c r="K36" s="5"/>
      <c r="L36" s="6">
        <v>70</v>
      </c>
      <c r="M36" s="61">
        <v>26</v>
      </c>
      <c r="N36" s="6">
        <f t="shared" si="1"/>
        <v>30.799999999999997</v>
      </c>
      <c r="O36" t="s">
        <v>72</v>
      </c>
    </row>
    <row r="37" spans="1:16">
      <c r="A37" s="2" t="s">
        <v>75</v>
      </c>
      <c r="B37" s="2"/>
      <c r="C37" s="4">
        <v>43656</v>
      </c>
      <c r="D37" s="4"/>
      <c r="E37" s="4">
        <v>43711</v>
      </c>
      <c r="F37" s="5"/>
      <c r="G37" s="49"/>
      <c r="H37" s="5">
        <v>10.86</v>
      </c>
      <c r="I37" s="102">
        <f>36/30*48</f>
        <v>57.599999999999994</v>
      </c>
      <c r="J37" s="5"/>
      <c r="K37" s="5"/>
      <c r="L37" s="6">
        <v>105</v>
      </c>
      <c r="M37" s="61">
        <v>36</v>
      </c>
      <c r="N37" s="6">
        <f t="shared" si="1"/>
        <v>48.3</v>
      </c>
    </row>
    <row r="38" spans="1:16">
      <c r="A38" s="2" t="s">
        <v>76</v>
      </c>
      <c r="B38" s="2"/>
      <c r="C38" s="4">
        <v>43677</v>
      </c>
      <c r="D38" s="4"/>
      <c r="E38" s="4">
        <v>43713</v>
      </c>
      <c r="F38" s="5"/>
      <c r="G38" s="49"/>
      <c r="H38" s="5">
        <v>24.06</v>
      </c>
      <c r="I38" s="102">
        <f>80/30*35</f>
        <v>93.333333333333329</v>
      </c>
      <c r="J38" s="5">
        <v>40</v>
      </c>
      <c r="K38" s="5"/>
      <c r="L38" s="6">
        <v>149</v>
      </c>
      <c r="M38" s="61">
        <v>80</v>
      </c>
      <c r="N38" s="6">
        <f t="shared" si="1"/>
        <v>48.3</v>
      </c>
      <c r="O38" t="s">
        <v>79</v>
      </c>
    </row>
    <row r="39" spans="1:16">
      <c r="A39" s="10" t="s">
        <v>81</v>
      </c>
      <c r="B39" s="10"/>
      <c r="C39" s="11">
        <v>45444</v>
      </c>
      <c r="D39" s="11"/>
      <c r="E39" s="11">
        <v>45408</v>
      </c>
      <c r="F39" s="12"/>
      <c r="G39" s="12"/>
      <c r="H39" s="12"/>
      <c r="I39" s="106">
        <f>43/30*34</f>
        <v>48.733333333333334</v>
      </c>
      <c r="J39" s="12"/>
      <c r="K39" s="12"/>
      <c r="L39" s="12">
        <v>129</v>
      </c>
      <c r="M39" s="107">
        <v>61</v>
      </c>
      <c r="N39" s="12">
        <f t="shared" si="1"/>
        <v>47.599999999999994</v>
      </c>
    </row>
    <row r="40" spans="1:16">
      <c r="A40" s="22" t="s">
        <v>87</v>
      </c>
      <c r="B40" s="22"/>
      <c r="C40" s="35">
        <v>43878</v>
      </c>
      <c r="D40" s="35"/>
      <c r="E40" s="35">
        <v>43892</v>
      </c>
      <c r="F40" s="5"/>
      <c r="G40" s="49"/>
      <c r="H40" s="5">
        <v>12.19</v>
      </c>
      <c r="I40" s="102">
        <v>5.5</v>
      </c>
      <c r="J40" s="5"/>
      <c r="K40" s="5"/>
      <c r="L40" s="6">
        <v>25</v>
      </c>
      <c r="M40" s="61">
        <v>11</v>
      </c>
      <c r="N40" s="6">
        <f t="shared" si="1"/>
        <v>9.7999999999999989</v>
      </c>
    </row>
    <row r="41" spans="1:16">
      <c r="A41" s="22" t="s">
        <v>89</v>
      </c>
      <c r="B41" s="22"/>
      <c r="C41" s="35">
        <v>43908</v>
      </c>
      <c r="D41" s="35"/>
      <c r="E41" s="35">
        <v>43893</v>
      </c>
      <c r="F41" s="5"/>
      <c r="G41" s="49"/>
      <c r="H41" s="5">
        <v>9.6</v>
      </c>
      <c r="I41" s="102"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22" t="s">
        <v>85</v>
      </c>
      <c r="B42" s="22"/>
      <c r="C42" s="35">
        <v>43881</v>
      </c>
      <c r="D42" s="35"/>
      <c r="E42" s="35">
        <v>43895</v>
      </c>
      <c r="F42" s="5"/>
      <c r="G42" s="49"/>
      <c r="H42" s="5">
        <v>9.14</v>
      </c>
      <c r="I42" s="102">
        <f>11/30*15</f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6">
      <c r="A43" s="39" t="s">
        <v>82</v>
      </c>
      <c r="B43" s="28"/>
      <c r="C43" s="36">
        <v>40235</v>
      </c>
      <c r="D43" s="36"/>
      <c r="E43" s="36">
        <v>43901</v>
      </c>
      <c r="F43" s="5"/>
      <c r="G43" s="34"/>
      <c r="H43" s="37">
        <v>9.6</v>
      </c>
      <c r="I43" s="102">
        <f>11/2</f>
        <v>5.5</v>
      </c>
      <c r="J43" s="5"/>
      <c r="K43" s="5"/>
      <c r="L43" s="17">
        <v>25</v>
      </c>
      <c r="M43" s="63">
        <v>11</v>
      </c>
      <c r="N43" s="26">
        <f t="shared" si="1"/>
        <v>9.7999999999999989</v>
      </c>
    </row>
    <row r="44" spans="1:16">
      <c r="A44" s="22" t="s">
        <v>80</v>
      </c>
      <c r="B44" s="22"/>
      <c r="C44" s="35">
        <v>43873</v>
      </c>
      <c r="D44" s="35"/>
      <c r="E44" s="35">
        <v>43910</v>
      </c>
      <c r="F44" s="5"/>
      <c r="G44" s="49"/>
      <c r="H44" s="5">
        <v>21.84</v>
      </c>
      <c r="I44" s="102">
        <f>56/30*38</f>
        <v>70.933333333333337</v>
      </c>
      <c r="J44" s="5"/>
      <c r="K44" s="5"/>
      <c r="L44" s="6">
        <v>120</v>
      </c>
      <c r="M44" s="61">
        <v>56</v>
      </c>
      <c r="N44" s="6">
        <f t="shared" si="1"/>
        <v>44.8</v>
      </c>
    </row>
    <row r="45" spans="1:16">
      <c r="A45" s="22" t="s">
        <v>88</v>
      </c>
      <c r="B45" s="22"/>
      <c r="C45" s="35">
        <v>43855</v>
      </c>
      <c r="D45" s="35"/>
      <c r="E45" s="35">
        <v>43941</v>
      </c>
      <c r="F45" s="5"/>
      <c r="G45" s="49"/>
      <c r="H45" s="5">
        <v>13.93</v>
      </c>
      <c r="I45" s="102">
        <f>56/30*85</f>
        <v>158.66666666666666</v>
      </c>
      <c r="J45" s="5"/>
      <c r="K45" s="5"/>
      <c r="L45" s="6">
        <v>110</v>
      </c>
      <c r="M45" s="61">
        <v>56</v>
      </c>
      <c r="N45" s="6">
        <f t="shared" si="1"/>
        <v>37.799999999999997</v>
      </c>
    </row>
    <row r="46" spans="1:16">
      <c r="A46" s="22" t="s">
        <v>90</v>
      </c>
      <c r="B46" s="22"/>
      <c r="C46" s="35" t="s">
        <v>96</v>
      </c>
      <c r="D46" s="35"/>
      <c r="E46" s="35">
        <v>44015</v>
      </c>
      <c r="F46" s="5" t="s">
        <v>160</v>
      </c>
      <c r="G46" s="49">
        <v>12.5</v>
      </c>
      <c r="H46" s="5">
        <v>11.29</v>
      </c>
      <c r="I46" s="102">
        <f>100</f>
        <v>100</v>
      </c>
      <c r="J46" s="5"/>
      <c r="K46" s="5"/>
      <c r="L46" s="6">
        <v>105</v>
      </c>
      <c r="M46" s="61">
        <f>25+11+22</f>
        <v>58</v>
      </c>
      <c r="N46" s="6">
        <f>12.5+(92.5-M46)*0.7</f>
        <v>36.65</v>
      </c>
      <c r="P46" s="41"/>
    </row>
    <row r="47" spans="1:16">
      <c r="A47" s="22" t="s">
        <v>97</v>
      </c>
      <c r="B47" s="22"/>
      <c r="C47" s="35">
        <v>43990</v>
      </c>
      <c r="D47" s="35"/>
      <c r="E47" s="35">
        <v>44036</v>
      </c>
      <c r="F47" s="5"/>
      <c r="G47" s="49"/>
      <c r="H47" s="5">
        <v>8.75</v>
      </c>
      <c r="I47" s="102">
        <f>56/30*46</f>
        <v>85.866666666666674</v>
      </c>
      <c r="J47" s="5"/>
      <c r="K47" s="5"/>
      <c r="L47" s="6">
        <v>110</v>
      </c>
      <c r="M47" s="61">
        <f>45+11</f>
        <v>56</v>
      </c>
      <c r="N47" s="6">
        <f>(L47-M47)*0.7</f>
        <v>37.799999999999997</v>
      </c>
    </row>
    <row r="48" spans="1:16">
      <c r="A48" s="22" t="s">
        <v>95</v>
      </c>
      <c r="B48" s="22"/>
      <c r="C48" s="35">
        <v>44028</v>
      </c>
      <c r="D48" s="35"/>
      <c r="E48" s="35">
        <v>44040</v>
      </c>
      <c r="F48" s="5"/>
      <c r="G48" s="49"/>
      <c r="H48" s="5">
        <v>8.75</v>
      </c>
      <c r="I48" s="102">
        <f>41/30*12</f>
        <v>16.399999999999999</v>
      </c>
      <c r="J48" s="5"/>
      <c r="K48" s="5"/>
      <c r="L48" s="6">
        <v>60</v>
      </c>
      <c r="M48" s="61">
        <v>41</v>
      </c>
      <c r="N48" s="6">
        <f>(L48-M48)*0.7</f>
        <v>13.299999999999999</v>
      </c>
    </row>
    <row r="49" spans="1:16">
      <c r="A49" s="22" t="s">
        <v>94</v>
      </c>
      <c r="B49" s="22"/>
      <c r="C49" s="35">
        <v>44011</v>
      </c>
      <c r="D49" s="35"/>
      <c r="E49" s="35">
        <v>44084</v>
      </c>
      <c r="F49" s="5"/>
      <c r="G49" s="49"/>
      <c r="H49" s="5">
        <v>11.29</v>
      </c>
      <c r="I49" s="102">
        <f>25/30*71</f>
        <v>59.166666666666671</v>
      </c>
      <c r="J49" s="5"/>
      <c r="K49" s="5"/>
      <c r="L49" s="6">
        <v>40</v>
      </c>
      <c r="M49" s="61">
        <v>25</v>
      </c>
      <c r="N49" s="6">
        <f>(L49-M49)*0.7</f>
        <v>10.5</v>
      </c>
    </row>
    <row r="50" spans="1:16">
      <c r="A50" s="2" t="s">
        <v>99</v>
      </c>
      <c r="B50" s="2"/>
      <c r="C50" s="35">
        <v>44084</v>
      </c>
      <c r="D50" s="35"/>
      <c r="E50" s="35">
        <v>44105</v>
      </c>
      <c r="F50" s="5" t="s">
        <v>160</v>
      </c>
      <c r="G50" s="49">
        <v>5</v>
      </c>
      <c r="H50" s="5">
        <v>12.24</v>
      </c>
      <c r="I50" s="102">
        <f>25/30*20</f>
        <v>16.666666666666668</v>
      </c>
      <c r="J50" s="5"/>
      <c r="K50" s="5"/>
      <c r="L50" s="43">
        <v>40</v>
      </c>
      <c r="M50" s="61">
        <v>22</v>
      </c>
      <c r="N50" s="6">
        <f>5+13*0.7</f>
        <v>14.1</v>
      </c>
      <c r="P50" s="41"/>
    </row>
    <row r="51" spans="1:16">
      <c r="A51" s="2" t="s">
        <v>102</v>
      </c>
      <c r="B51" s="2"/>
      <c r="C51" s="4" t="s">
        <v>103</v>
      </c>
      <c r="D51" s="4"/>
      <c r="E51" s="4">
        <v>44110</v>
      </c>
      <c r="F51" s="5" t="s">
        <v>160</v>
      </c>
      <c r="G51" s="49">
        <v>10</v>
      </c>
      <c r="H51" s="5">
        <v>36.65</v>
      </c>
      <c r="I51" s="102">
        <f>115/30*26</f>
        <v>99.666666666666671</v>
      </c>
      <c r="J51" s="5"/>
      <c r="K51" s="5"/>
      <c r="L51" s="6">
        <v>180</v>
      </c>
      <c r="M51" s="61">
        <v>115</v>
      </c>
      <c r="N51" s="6">
        <f>10+55*0.7</f>
        <v>48.5</v>
      </c>
      <c r="P51" s="41"/>
    </row>
    <row r="52" spans="1:16">
      <c r="A52" s="2" t="s">
        <v>94</v>
      </c>
      <c r="B52" s="2"/>
      <c r="C52" s="35">
        <v>44124</v>
      </c>
      <c r="D52" s="35"/>
      <c r="E52" s="35">
        <v>44124</v>
      </c>
      <c r="F52" s="5"/>
      <c r="G52" s="49"/>
      <c r="H52" s="5">
        <v>7.25</v>
      </c>
      <c r="I52" s="102">
        <v>0</v>
      </c>
      <c r="J52" s="5"/>
      <c r="K52" s="5"/>
      <c r="L52" s="6">
        <v>25</v>
      </c>
      <c r="M52" s="61">
        <v>11</v>
      </c>
      <c r="N52" s="6">
        <f>(L52-M52)*0.7</f>
        <v>9.7999999999999989</v>
      </c>
    </row>
    <row r="53" spans="1:16">
      <c r="A53" s="2" t="s">
        <v>100</v>
      </c>
      <c r="B53" s="2"/>
      <c r="C53" s="4">
        <v>44018</v>
      </c>
      <c r="D53" s="4"/>
      <c r="E53" s="4">
        <v>44124</v>
      </c>
      <c r="F53" s="40"/>
      <c r="G53" s="2"/>
      <c r="H53" s="5">
        <v>9.5</v>
      </c>
      <c r="I53" s="102">
        <f>25/30*104</f>
        <v>86.666666666666671</v>
      </c>
      <c r="J53" s="5"/>
      <c r="K53" s="5"/>
      <c r="L53" s="6">
        <v>70</v>
      </c>
      <c r="M53" s="61">
        <v>25</v>
      </c>
      <c r="N53" s="6">
        <f>(L53-M53)*0.7</f>
        <v>31.499999999999996</v>
      </c>
    </row>
    <row r="54" spans="1:16">
      <c r="A54" s="2" t="s">
        <v>101</v>
      </c>
      <c r="B54" s="2"/>
      <c r="C54" s="4">
        <v>44070</v>
      </c>
      <c r="D54" s="4"/>
      <c r="E54" s="4">
        <v>44131</v>
      </c>
      <c r="F54" s="40"/>
      <c r="G54" s="2"/>
      <c r="H54" s="5">
        <v>13.93</v>
      </c>
      <c r="I54" s="102">
        <f>71/30*60</f>
        <v>142</v>
      </c>
      <c r="J54" s="5"/>
      <c r="K54" s="5"/>
      <c r="L54" s="6">
        <v>120</v>
      </c>
      <c r="M54" s="61">
        <f>60+11</f>
        <v>71</v>
      </c>
      <c r="N54" s="6">
        <f>(L54-M54)*0.7</f>
        <v>34.299999999999997</v>
      </c>
    </row>
    <row r="55" spans="1:16">
      <c r="A55" s="22" t="s">
        <v>104</v>
      </c>
      <c r="B55" s="22"/>
      <c r="C55" s="4">
        <v>44159</v>
      </c>
      <c r="D55" s="4"/>
      <c r="E55" s="4">
        <v>44187</v>
      </c>
      <c r="F55" s="40"/>
      <c r="G55" s="2"/>
      <c r="H55" s="5">
        <v>13.93</v>
      </c>
      <c r="I55" s="102">
        <f>36/30*28</f>
        <v>33.6</v>
      </c>
      <c r="J55" s="5"/>
      <c r="K55" s="5"/>
      <c r="L55" s="6">
        <v>110</v>
      </c>
      <c r="M55" s="61">
        <f>25+11</f>
        <v>36</v>
      </c>
      <c r="N55" s="6">
        <f>(L55-M55)*0.7</f>
        <v>51.8</v>
      </c>
    </row>
    <row r="56" spans="1:16">
      <c r="A56" s="22" t="s">
        <v>120</v>
      </c>
      <c r="B56" s="22"/>
      <c r="C56" s="4">
        <v>44169</v>
      </c>
      <c r="D56" s="4"/>
      <c r="E56" s="4">
        <v>44208</v>
      </c>
      <c r="F56" s="5" t="s">
        <v>160</v>
      </c>
      <c r="G56" s="49">
        <v>10</v>
      </c>
      <c r="H56" s="5"/>
      <c r="I56" s="102">
        <f>41/30*38</f>
        <v>51.933333333333337</v>
      </c>
      <c r="J56" s="5"/>
      <c r="K56" s="5"/>
      <c r="L56" s="6">
        <v>70</v>
      </c>
      <c r="M56" s="61">
        <v>45</v>
      </c>
      <c r="N56" s="5">
        <f>10+(60-45)*0.7</f>
        <v>20.5</v>
      </c>
      <c r="O56" s="1" t="s">
        <v>145</v>
      </c>
    </row>
    <row r="57" spans="1:16">
      <c r="A57" s="22" t="s">
        <v>108</v>
      </c>
      <c r="B57" s="22"/>
      <c r="C57" s="4">
        <v>44185</v>
      </c>
      <c r="D57" s="4"/>
      <c r="E57" s="4">
        <v>44242</v>
      </c>
      <c r="F57" s="5" t="s">
        <v>160</v>
      </c>
      <c r="G57" s="49">
        <v>20</v>
      </c>
      <c r="H57" s="5">
        <v>26.48</v>
      </c>
      <c r="I57" s="102">
        <f>50/30*55</f>
        <v>91.666666666666671</v>
      </c>
      <c r="J57" s="5">
        <v>160</v>
      </c>
      <c r="K57" s="5"/>
      <c r="L57" s="6">
        <v>130</v>
      </c>
      <c r="M57" s="61">
        <v>34</v>
      </c>
      <c r="N57" s="5">
        <f>(20+(110-34)*0.7)</f>
        <v>73.199999999999989</v>
      </c>
      <c r="O57" s="1" t="s">
        <v>145</v>
      </c>
    </row>
    <row r="58" spans="1:16">
      <c r="A58" s="22" t="s">
        <v>109</v>
      </c>
      <c r="B58" s="22"/>
      <c r="C58" s="4">
        <v>44209</v>
      </c>
      <c r="D58" s="4"/>
      <c r="E58" s="4">
        <v>44250</v>
      </c>
      <c r="F58" s="5" t="s">
        <v>160</v>
      </c>
      <c r="G58" s="49">
        <v>22.5</v>
      </c>
      <c r="H58" s="5">
        <v>22.83</v>
      </c>
      <c r="I58" s="102">
        <f>100/30*40</f>
        <v>133.33333333333334</v>
      </c>
      <c r="J58" s="5">
        <v>125</v>
      </c>
      <c r="K58" s="5"/>
      <c r="L58" s="6">
        <v>210</v>
      </c>
      <c r="M58" s="61">
        <v>100</v>
      </c>
      <c r="N58" s="6">
        <f>(22.5+87.5*0.7)</f>
        <v>83.75</v>
      </c>
    </row>
    <row r="59" spans="1:16">
      <c r="A59" s="2" t="s">
        <v>113</v>
      </c>
      <c r="B59" s="2"/>
      <c r="C59" s="4">
        <v>44245</v>
      </c>
      <c r="D59" s="4"/>
      <c r="E59" s="4">
        <v>44271</v>
      </c>
      <c r="F59" s="5" t="s">
        <v>160</v>
      </c>
      <c r="G59" s="49">
        <v>15</v>
      </c>
      <c r="H59" s="5">
        <v>26.76</v>
      </c>
      <c r="I59" s="102">
        <f>67/30*28</f>
        <v>62.533333333333331</v>
      </c>
      <c r="J59" s="5"/>
      <c r="K59" s="5"/>
      <c r="L59" s="6">
        <v>140</v>
      </c>
      <c r="M59" s="61">
        <v>67</v>
      </c>
      <c r="N59" s="6">
        <f>(15+0.7*58)</f>
        <v>55.599999999999994</v>
      </c>
    </row>
    <row r="60" spans="1:16">
      <c r="A60" s="2" t="s">
        <v>112</v>
      </c>
      <c r="B60" s="2"/>
      <c r="C60" s="4">
        <v>44270</v>
      </c>
      <c r="D60" s="4"/>
      <c r="E60" s="4">
        <v>44286</v>
      </c>
      <c r="F60" s="5" t="s">
        <v>160</v>
      </c>
      <c r="G60" s="49">
        <v>17.5</v>
      </c>
      <c r="H60" s="5">
        <v>31.96</v>
      </c>
      <c r="I60" s="102">
        <f>55/30*16</f>
        <v>29.333333333333332</v>
      </c>
      <c r="J60" s="5">
        <v>75</v>
      </c>
      <c r="K60" s="5"/>
      <c r="L60" s="6">
        <v>100</v>
      </c>
      <c r="M60" s="61">
        <v>55</v>
      </c>
      <c r="N60" s="6">
        <f>(17.5+27.5*0.7)</f>
        <v>36.75</v>
      </c>
    </row>
    <row r="61" spans="1:16">
      <c r="A61" s="22" t="s">
        <v>121</v>
      </c>
      <c r="B61" s="22"/>
      <c r="C61" s="4">
        <v>44316</v>
      </c>
      <c r="D61" s="4"/>
      <c r="E61" s="4">
        <v>44354</v>
      </c>
      <c r="F61" s="40"/>
      <c r="G61" s="2"/>
      <c r="H61" s="5">
        <v>15.15</v>
      </c>
      <c r="I61" s="102">
        <f>36/30*37</f>
        <v>44.4</v>
      </c>
      <c r="J61" s="5"/>
      <c r="K61" s="5"/>
      <c r="L61" s="6">
        <v>110</v>
      </c>
      <c r="M61" s="61">
        <v>36</v>
      </c>
      <c r="N61" s="5">
        <f>(L61-M61)*0.7</f>
        <v>51.8</v>
      </c>
      <c r="O61" s="1" t="s">
        <v>145</v>
      </c>
    </row>
    <row r="62" spans="1:16">
      <c r="A62" s="22" t="s">
        <v>126</v>
      </c>
      <c r="B62" s="22"/>
      <c r="C62" s="4">
        <v>44336</v>
      </c>
      <c r="D62" s="4"/>
      <c r="E62" s="4">
        <v>44370</v>
      </c>
      <c r="F62" s="5" t="s">
        <v>161</v>
      </c>
      <c r="G62" s="49">
        <v>17.5</v>
      </c>
      <c r="H62" s="5">
        <v>35.78</v>
      </c>
      <c r="I62" s="102">
        <f>58/30*33</f>
        <v>63.8</v>
      </c>
      <c r="J62" s="5">
        <v>50</v>
      </c>
      <c r="K62" s="5"/>
      <c r="L62" s="6">
        <v>150</v>
      </c>
      <c r="M62" s="61">
        <v>58</v>
      </c>
      <c r="N62" s="6">
        <f>(17.5+74.5*0.7)</f>
        <v>69.650000000000006</v>
      </c>
    </row>
    <row r="63" spans="1:16">
      <c r="A63" s="44" t="s">
        <v>125</v>
      </c>
      <c r="B63" s="44"/>
      <c r="C63" s="4">
        <v>44342</v>
      </c>
      <c r="D63" s="4"/>
      <c r="E63" s="4">
        <v>44386</v>
      </c>
      <c r="F63" s="5" t="s">
        <v>160</v>
      </c>
      <c r="G63" s="49">
        <v>12.5</v>
      </c>
      <c r="H63" s="5">
        <v>15.46</v>
      </c>
      <c r="I63" s="102">
        <f>36/30*43</f>
        <v>51.6</v>
      </c>
      <c r="J63" s="5">
        <f>50+45</f>
        <v>95</v>
      </c>
      <c r="K63" s="5"/>
      <c r="L63" s="6">
        <v>80</v>
      </c>
      <c r="M63" s="61">
        <v>33</v>
      </c>
      <c r="N63" s="6">
        <f>12.5+(L63-M63-12.5)*0.7</f>
        <v>36.65</v>
      </c>
    </row>
    <row r="64" spans="1:16">
      <c r="A64" s="44" t="s">
        <v>129</v>
      </c>
      <c r="B64" s="44"/>
      <c r="C64" s="4">
        <v>44348</v>
      </c>
      <c r="D64" s="4"/>
      <c r="E64" s="4">
        <v>44389</v>
      </c>
      <c r="F64" s="5" t="s">
        <v>160</v>
      </c>
      <c r="G64" s="49">
        <v>12.5</v>
      </c>
      <c r="H64" s="5">
        <v>26.22</v>
      </c>
      <c r="I64" s="102">
        <f>71/30*42</f>
        <v>99.4</v>
      </c>
      <c r="J64" s="5">
        <f>50+45</f>
        <v>95</v>
      </c>
      <c r="K64" s="5"/>
      <c r="L64" s="6">
        <v>140</v>
      </c>
      <c r="M64" s="61">
        <v>71</v>
      </c>
      <c r="N64" s="6">
        <f>(12.5+(127.5-71)*0.7)</f>
        <v>52.05</v>
      </c>
    </row>
    <row r="65" spans="1:16">
      <c r="A65" s="44" t="s">
        <v>132</v>
      </c>
      <c r="B65" s="44"/>
      <c r="C65" s="4">
        <v>44407</v>
      </c>
      <c r="D65" s="4"/>
      <c r="E65" s="4">
        <v>44461</v>
      </c>
      <c r="F65" s="40"/>
      <c r="G65" s="2"/>
      <c r="H65" s="5">
        <v>9.8800000000000008</v>
      </c>
      <c r="I65" s="102">
        <f>25/30*52</f>
        <v>43.333333333333336</v>
      </c>
      <c r="J65" s="5"/>
      <c r="K65" s="5"/>
      <c r="L65" s="6">
        <v>40</v>
      </c>
      <c r="M65" s="61">
        <v>25</v>
      </c>
      <c r="N65" s="6">
        <f>(L65-M65)*0.7</f>
        <v>10.5</v>
      </c>
    </row>
    <row r="66" spans="1:16">
      <c r="A66" s="52" t="s">
        <v>141</v>
      </c>
      <c r="B66" s="52"/>
      <c r="C66" s="57">
        <v>44459</v>
      </c>
      <c r="D66" s="57"/>
      <c r="E66" s="57">
        <v>44481</v>
      </c>
      <c r="F66" s="10" t="s">
        <v>161</v>
      </c>
      <c r="G66" s="12">
        <v>10</v>
      </c>
      <c r="H66" s="25">
        <v>15.15</v>
      </c>
      <c r="I66" s="103">
        <f>46/30*22</f>
        <v>33.733333333333334</v>
      </c>
      <c r="J66" s="25">
        <v>80</v>
      </c>
      <c r="K66" s="25"/>
      <c r="L66" s="27">
        <v>120</v>
      </c>
      <c r="M66" s="64">
        <v>46</v>
      </c>
      <c r="N66" s="27">
        <f>10+(120-56)*0.7</f>
        <v>54.8</v>
      </c>
    </row>
    <row r="67" spans="1:16">
      <c r="A67" s="52" t="s">
        <v>140</v>
      </c>
      <c r="B67" s="52"/>
      <c r="C67" s="57">
        <v>44449</v>
      </c>
      <c r="D67" s="57"/>
      <c r="E67" s="57">
        <v>44482</v>
      </c>
      <c r="F67" s="25" t="s">
        <v>160</v>
      </c>
      <c r="G67" s="58">
        <v>10</v>
      </c>
      <c r="H67" s="25">
        <v>13.4</v>
      </c>
      <c r="I67" s="103">
        <f>60/30*33</f>
        <v>66</v>
      </c>
      <c r="J67" s="25">
        <v>80</v>
      </c>
      <c r="K67" s="25"/>
      <c r="L67" s="27">
        <v>120</v>
      </c>
      <c r="M67" s="64">
        <v>61</v>
      </c>
      <c r="N67" s="27">
        <f>(10+49*0.7)</f>
        <v>44.3</v>
      </c>
    </row>
    <row r="68" spans="1:16">
      <c r="A68" s="44" t="s">
        <v>137</v>
      </c>
      <c r="B68" s="44"/>
      <c r="C68" s="35">
        <v>44474</v>
      </c>
      <c r="D68" s="35"/>
      <c r="E68" s="35">
        <v>44487</v>
      </c>
      <c r="F68" s="10" t="s">
        <v>161</v>
      </c>
      <c r="G68" s="12">
        <v>12.5</v>
      </c>
      <c r="H68" s="5">
        <v>15.15</v>
      </c>
      <c r="I68" s="102">
        <f>71/30*13</f>
        <v>30.766666666666666</v>
      </c>
      <c r="J68" s="5">
        <v>95</v>
      </c>
      <c r="K68" s="5"/>
      <c r="L68" s="6">
        <v>140</v>
      </c>
      <c r="M68" s="61">
        <v>71</v>
      </c>
      <c r="N68" s="6">
        <f>12.5+(56.5)*0.7</f>
        <v>52.05</v>
      </c>
    </row>
    <row r="69" spans="1:16">
      <c r="A69" s="44" t="s">
        <v>143</v>
      </c>
      <c r="B69" s="44"/>
      <c r="C69" s="35">
        <v>43717</v>
      </c>
      <c r="D69" s="35"/>
      <c r="E69" s="35">
        <v>44505</v>
      </c>
      <c r="F69" s="40"/>
      <c r="G69" s="49"/>
      <c r="H69" s="5">
        <v>13.4</v>
      </c>
      <c r="I69" s="102">
        <f>36*25+36/30*26</f>
        <v>931.2</v>
      </c>
      <c r="J69" s="5"/>
      <c r="K69" s="5"/>
      <c r="L69" s="6">
        <v>100</v>
      </c>
      <c r="M69" s="61">
        <v>36</v>
      </c>
      <c r="N69" s="6">
        <f>(100-36)*0.7</f>
        <v>44.8</v>
      </c>
    </row>
    <row r="70" spans="1:16">
      <c r="A70" s="44" t="s">
        <v>139</v>
      </c>
      <c r="B70" s="44"/>
      <c r="C70" s="35">
        <v>44492</v>
      </c>
      <c r="D70" s="35"/>
      <c r="E70" s="35">
        <v>44539</v>
      </c>
      <c r="F70" s="40"/>
      <c r="G70" s="49"/>
      <c r="H70" s="5">
        <v>16.350000000000001</v>
      </c>
      <c r="I70" s="102">
        <f>71/30*46</f>
        <v>108.86666666666667</v>
      </c>
      <c r="J70" s="5">
        <v>95</v>
      </c>
      <c r="K70" s="5"/>
      <c r="L70" s="6">
        <v>140</v>
      </c>
      <c r="M70" s="61">
        <v>71</v>
      </c>
      <c r="N70" s="12">
        <f>(140-71)*0.7</f>
        <v>48.3</v>
      </c>
      <c r="O70" s="72" t="s">
        <v>329</v>
      </c>
      <c r="P70" s="72">
        <v>33.81</v>
      </c>
    </row>
    <row r="71" spans="1:16">
      <c r="A71" s="44" t="s">
        <v>144</v>
      </c>
      <c r="B71" s="44"/>
      <c r="C71" s="35">
        <v>44526</v>
      </c>
      <c r="D71" s="35"/>
      <c r="E71" s="35">
        <v>44550</v>
      </c>
      <c r="F71" s="5" t="s">
        <v>160</v>
      </c>
      <c r="G71" s="49">
        <v>12.5</v>
      </c>
      <c r="H71" s="5">
        <v>13.4</v>
      </c>
      <c r="I71" s="102">
        <f>83/30*24</f>
        <v>66.400000000000006</v>
      </c>
      <c r="J71" s="5"/>
      <c r="K71" s="5"/>
      <c r="L71" s="6">
        <v>140</v>
      </c>
      <c r="M71" s="61">
        <v>94</v>
      </c>
      <c r="N71" s="6">
        <f>12.5+(140-12.5-94)*0.7</f>
        <v>35.950000000000003</v>
      </c>
    </row>
    <row r="72" spans="1:16">
      <c r="A72" s="44" t="s">
        <v>149</v>
      </c>
      <c r="B72" s="44"/>
      <c r="C72" s="35">
        <v>44880</v>
      </c>
      <c r="D72" s="35"/>
      <c r="E72" s="35">
        <v>44575</v>
      </c>
      <c r="F72" s="40"/>
      <c r="G72" s="49"/>
      <c r="H72" s="5">
        <v>13.4</v>
      </c>
      <c r="I72" s="102"/>
      <c r="J72" s="5">
        <v>50</v>
      </c>
      <c r="K72" s="5"/>
      <c r="L72" s="6">
        <v>160</v>
      </c>
      <c r="M72" s="61">
        <f>71+9</f>
        <v>80</v>
      </c>
      <c r="N72" s="6">
        <f>(160-80)*0.7</f>
        <v>56</v>
      </c>
    </row>
    <row r="73" spans="1:16">
      <c r="A73" s="44" t="s">
        <v>146</v>
      </c>
      <c r="B73" s="44"/>
      <c r="C73" s="4">
        <v>44586</v>
      </c>
      <c r="D73" s="4"/>
      <c r="E73" s="4">
        <v>44615</v>
      </c>
      <c r="F73" s="10" t="s">
        <v>161</v>
      </c>
      <c r="G73" s="12">
        <v>12.5</v>
      </c>
      <c r="H73" s="5">
        <v>15.46</v>
      </c>
      <c r="I73" s="102">
        <f>27/30*28</f>
        <v>25.2</v>
      </c>
      <c r="J73" s="5">
        <v>110</v>
      </c>
      <c r="K73" s="5"/>
      <c r="L73" s="6">
        <v>154</v>
      </c>
      <c r="M73" s="61">
        <v>72</v>
      </c>
      <c r="N73" s="6">
        <f>12.5+(154-12.5-62)*0.7</f>
        <v>68.150000000000006</v>
      </c>
    </row>
    <row r="74" spans="1:16">
      <c r="A74" s="44" t="s">
        <v>148</v>
      </c>
      <c r="B74" s="44"/>
      <c r="C74" s="4">
        <v>44579</v>
      </c>
      <c r="D74" s="4"/>
      <c r="E74" s="4">
        <v>44594</v>
      </c>
      <c r="F74" s="40"/>
      <c r="G74" s="49"/>
      <c r="H74" s="5">
        <v>13.4</v>
      </c>
      <c r="I74" s="102">
        <f>22/30*14</f>
        <v>10.266666666666666</v>
      </c>
      <c r="J74" s="5">
        <v>30</v>
      </c>
      <c r="K74" s="5"/>
      <c r="L74" s="6">
        <v>50</v>
      </c>
      <c r="M74" s="61">
        <v>22</v>
      </c>
      <c r="N74" s="6">
        <f>(50-22)*0.7</f>
        <v>19.599999999999998</v>
      </c>
    </row>
    <row r="75" spans="1:16">
      <c r="A75" s="44" t="s">
        <v>150</v>
      </c>
      <c r="B75" s="44"/>
      <c r="C75" s="4">
        <v>44899</v>
      </c>
      <c r="D75" s="4"/>
      <c r="E75" s="4">
        <v>44607</v>
      </c>
      <c r="F75" s="12" t="s">
        <v>160</v>
      </c>
      <c r="G75" s="12">
        <v>12.5</v>
      </c>
      <c r="H75" s="5">
        <v>13.4</v>
      </c>
      <c r="I75" s="102">
        <f>71/30*61</f>
        <v>144.36666666666667</v>
      </c>
      <c r="J75" s="5">
        <v>80</v>
      </c>
      <c r="K75" s="5"/>
      <c r="L75" s="6">
        <v>120</v>
      </c>
      <c r="M75" s="61">
        <v>60</v>
      </c>
      <c r="N75" s="6">
        <f>12.5+(120-72.5)*0.7</f>
        <v>45.75</v>
      </c>
    </row>
    <row r="76" spans="1:16">
      <c r="A76" s="44" t="s">
        <v>153</v>
      </c>
      <c r="B76" s="44"/>
      <c r="C76" s="4">
        <v>44623</v>
      </c>
      <c r="D76" s="4"/>
      <c r="E76" s="4">
        <v>44623</v>
      </c>
      <c r="F76" s="40"/>
      <c r="G76" s="40"/>
      <c r="H76" s="5">
        <v>11.03</v>
      </c>
      <c r="I76" s="102">
        <v>0</v>
      </c>
      <c r="J76" s="5">
        <v>15</v>
      </c>
      <c r="K76" s="5"/>
      <c r="L76" s="6">
        <v>30</v>
      </c>
      <c r="M76" s="61">
        <v>12</v>
      </c>
      <c r="N76" s="6">
        <f>(L76-M76)*0.7</f>
        <v>12.6</v>
      </c>
    </row>
    <row r="77" spans="1:16">
      <c r="A77" s="44" t="s">
        <v>154</v>
      </c>
      <c r="B77" s="44"/>
      <c r="C77" s="4">
        <v>44881</v>
      </c>
      <c r="D77" s="4"/>
      <c r="E77" s="4">
        <v>44628</v>
      </c>
      <c r="F77" s="40"/>
      <c r="G77" s="40"/>
      <c r="H77" s="5">
        <v>9.0299999999999994</v>
      </c>
      <c r="I77" s="102">
        <f>65*3+65/30*22</f>
        <v>242.66666666666666</v>
      </c>
      <c r="J77" s="5">
        <v>95</v>
      </c>
      <c r="K77" s="5"/>
      <c r="L77" s="6">
        <v>112</v>
      </c>
      <c r="M77" s="61">
        <v>65</v>
      </c>
      <c r="N77" s="6">
        <f>(L77-M77)*0.7</f>
        <v>32.9</v>
      </c>
    </row>
    <row r="78" spans="1:16">
      <c r="A78" s="44" t="s">
        <v>155</v>
      </c>
      <c r="B78" s="44"/>
      <c r="C78" s="4">
        <v>44490</v>
      </c>
      <c r="D78" s="4"/>
      <c r="E78" s="4">
        <v>44648</v>
      </c>
      <c r="F78" s="40"/>
      <c r="G78" s="40"/>
      <c r="H78" s="5">
        <v>13.4</v>
      </c>
      <c r="I78" s="102">
        <f>45*5+45/30*7</f>
        <v>235.5</v>
      </c>
      <c r="J78" s="5">
        <v>80</v>
      </c>
      <c r="K78" s="5"/>
      <c r="L78" s="6">
        <v>67.5</v>
      </c>
      <c r="M78" s="61">
        <v>45</v>
      </c>
      <c r="N78" s="6">
        <f>(L78-M78)*0.7</f>
        <v>15.749999999999998</v>
      </c>
    </row>
    <row r="79" spans="1:16">
      <c r="A79" s="44" t="s">
        <v>156</v>
      </c>
      <c r="B79" s="44"/>
      <c r="C79" s="4">
        <v>44489</v>
      </c>
      <c r="D79" s="4"/>
      <c r="E79" s="4">
        <v>44651</v>
      </c>
      <c r="F79" s="40"/>
      <c r="G79" s="40"/>
      <c r="H79" s="5">
        <v>15.46</v>
      </c>
      <c r="I79" s="102">
        <f>50*5+50/10</f>
        <v>255</v>
      </c>
      <c r="J79" s="5">
        <v>145</v>
      </c>
      <c r="K79" s="5"/>
      <c r="L79" s="6">
        <v>125</v>
      </c>
      <c r="M79" s="61">
        <v>50</v>
      </c>
      <c r="N79" s="6">
        <f>(L79-M79)*0.7</f>
        <v>52.5</v>
      </c>
    </row>
    <row r="80" spans="1:16">
      <c r="A80" s="44" t="s">
        <v>157</v>
      </c>
      <c r="B80" s="44"/>
      <c r="C80" s="4">
        <v>44627</v>
      </c>
      <c r="D80" s="4"/>
      <c r="E80" s="4">
        <v>44627</v>
      </c>
      <c r="F80" s="10" t="s">
        <v>161</v>
      </c>
      <c r="G80" s="12">
        <v>10</v>
      </c>
      <c r="H80" s="5">
        <v>15.46</v>
      </c>
      <c r="I80" s="102">
        <v>0</v>
      </c>
      <c r="J80" s="5">
        <v>0</v>
      </c>
      <c r="K80" s="5"/>
      <c r="L80" s="6">
        <v>100</v>
      </c>
      <c r="M80" s="61">
        <v>44</v>
      </c>
      <c r="N80" s="6">
        <f>10+(46)*0.7</f>
        <v>42.199999999999996</v>
      </c>
    </row>
    <row r="81" spans="1:14">
      <c r="A81" s="44" t="s">
        <v>158</v>
      </c>
      <c r="B81" s="44"/>
      <c r="C81" s="4">
        <v>44627</v>
      </c>
      <c r="D81" s="4"/>
      <c r="E81" s="4">
        <v>44627</v>
      </c>
      <c r="F81" s="10" t="s">
        <v>161</v>
      </c>
      <c r="G81" s="12">
        <v>12.5</v>
      </c>
      <c r="H81" s="5">
        <v>15.46</v>
      </c>
      <c r="I81" s="102">
        <v>0</v>
      </c>
      <c r="J81" s="5">
        <v>0</v>
      </c>
      <c r="K81" s="5"/>
      <c r="L81" s="6">
        <v>125</v>
      </c>
      <c r="M81" s="61">
        <v>55</v>
      </c>
      <c r="N81" s="6">
        <f>12.5+(57.5)*0.7</f>
        <v>52.75</v>
      </c>
    </row>
    <row r="82" spans="1:14">
      <c r="A82" s="44" t="s">
        <v>171</v>
      </c>
      <c r="B82" s="44"/>
      <c r="C82" s="4">
        <v>44648</v>
      </c>
      <c r="D82" s="4"/>
      <c r="E82" s="4">
        <v>44734</v>
      </c>
      <c r="F82" s="40"/>
      <c r="G82" s="5"/>
      <c r="H82" s="5">
        <v>13.72</v>
      </c>
      <c r="I82" s="102">
        <f>56/30*84</f>
        <v>156.80000000000001</v>
      </c>
      <c r="J82" s="5">
        <v>95</v>
      </c>
      <c r="K82" s="5"/>
      <c r="L82" s="6">
        <v>140</v>
      </c>
      <c r="M82" s="61">
        <v>56</v>
      </c>
      <c r="N82" s="6">
        <f>(140-56)*0.7</f>
        <v>58.8</v>
      </c>
    </row>
    <row r="83" spans="1:14">
      <c r="A83" s="44" t="s">
        <v>172</v>
      </c>
      <c r="B83" s="44"/>
      <c r="C83" s="4">
        <v>44705</v>
      </c>
      <c r="D83" s="4"/>
      <c r="E83" s="4">
        <v>44715</v>
      </c>
      <c r="F83" s="40"/>
      <c r="G83" s="5"/>
      <c r="H83" s="5">
        <v>10.039999999999999</v>
      </c>
      <c r="I83" s="102">
        <f>25/30*9</f>
        <v>7.5</v>
      </c>
      <c r="J83" s="5"/>
      <c r="K83" s="5"/>
      <c r="L83" s="6">
        <v>50</v>
      </c>
      <c r="M83" s="61">
        <v>25</v>
      </c>
      <c r="N83" s="6">
        <f>(50-25)*0.7</f>
        <v>17.5</v>
      </c>
    </row>
    <row r="84" spans="1:14">
      <c r="A84" s="44" t="s">
        <v>173</v>
      </c>
      <c r="B84" s="44"/>
      <c r="C84" s="4">
        <v>44704</v>
      </c>
      <c r="D84" s="4"/>
      <c r="E84" s="4">
        <v>44721</v>
      </c>
      <c r="F84" s="10" t="s">
        <v>161</v>
      </c>
      <c r="G84" s="56">
        <v>12.5</v>
      </c>
      <c r="H84" s="5">
        <v>13.72</v>
      </c>
      <c r="I84" s="102">
        <f>37/30*16</f>
        <v>19.733333333333334</v>
      </c>
      <c r="J84" s="5">
        <f>50+45</f>
        <v>95</v>
      </c>
      <c r="K84" s="5"/>
      <c r="L84" s="6">
        <v>129</v>
      </c>
      <c r="M84" s="61">
        <v>54.5</v>
      </c>
      <c r="N84" s="56">
        <f>12.5+(116.5-54.5)*0.7</f>
        <v>55.9</v>
      </c>
    </row>
    <row r="85" spans="1:14">
      <c r="A85" s="44" t="s">
        <v>174</v>
      </c>
      <c r="B85" s="44"/>
      <c r="C85" s="4">
        <v>44715</v>
      </c>
      <c r="D85" s="4"/>
      <c r="E85" s="4">
        <v>44820</v>
      </c>
      <c r="F85" s="10" t="s">
        <v>161</v>
      </c>
      <c r="G85" s="56">
        <v>15</v>
      </c>
      <c r="H85" s="5">
        <v>14.6</v>
      </c>
      <c r="I85" s="102">
        <f>56/30*103</f>
        <v>192.26666666666668</v>
      </c>
      <c r="J85" s="5">
        <v>50</v>
      </c>
      <c r="K85" s="5"/>
      <c r="L85" s="6">
        <f>130</f>
        <v>130</v>
      </c>
      <c r="M85" s="61">
        <v>56</v>
      </c>
      <c r="N85" s="56">
        <f>15+(115-56)*0.7</f>
        <v>56.3</v>
      </c>
    </row>
    <row r="86" spans="1:14">
      <c r="A86" s="44" t="s">
        <v>183</v>
      </c>
      <c r="B86" s="44"/>
      <c r="C86" s="4">
        <v>44749</v>
      </c>
      <c r="D86" s="4">
        <v>44830</v>
      </c>
      <c r="E86" s="4">
        <v>44858</v>
      </c>
      <c r="F86" s="40"/>
      <c r="G86" s="5"/>
      <c r="H86" s="5">
        <v>11.03</v>
      </c>
      <c r="I86" s="102">
        <v>25</v>
      </c>
      <c r="J86" s="5">
        <v>15</v>
      </c>
      <c r="K86" s="5"/>
      <c r="L86" s="6">
        <v>80</v>
      </c>
      <c r="M86" s="61">
        <v>25</v>
      </c>
      <c r="N86" s="6">
        <f>55*0.7</f>
        <v>38.5</v>
      </c>
    </row>
    <row r="87" spans="1:14">
      <c r="A87" s="44" t="s">
        <v>184</v>
      </c>
      <c r="B87" s="44"/>
      <c r="C87" s="4">
        <v>44775</v>
      </c>
      <c r="D87" s="4">
        <v>44810</v>
      </c>
      <c r="E87" s="4">
        <v>44848</v>
      </c>
      <c r="F87" s="40"/>
      <c r="G87" s="5"/>
      <c r="H87" s="5">
        <v>23.38</v>
      </c>
      <c r="I87" s="102">
        <f>100/30*38</f>
        <v>126.66666666666667</v>
      </c>
      <c r="J87" s="5">
        <v>155</v>
      </c>
      <c r="K87" s="5"/>
      <c r="L87" s="6">
        <v>220</v>
      </c>
      <c r="M87" s="61">
        <v>100</v>
      </c>
      <c r="N87" s="6">
        <v>90.75</v>
      </c>
    </row>
    <row r="88" spans="1:14">
      <c r="A88" s="44" t="s">
        <v>185</v>
      </c>
      <c r="B88" s="44"/>
      <c r="C88" s="4">
        <v>44830</v>
      </c>
      <c r="D88" s="4">
        <v>44852</v>
      </c>
      <c r="E88" s="4">
        <v>44858</v>
      </c>
      <c r="F88" s="10" t="s">
        <v>161</v>
      </c>
      <c r="G88" s="12">
        <v>15</v>
      </c>
      <c r="H88" s="5">
        <v>23.38</v>
      </c>
      <c r="I88" s="102">
        <f>54.5/30*6</f>
        <v>10.9</v>
      </c>
      <c r="J88" s="5">
        <v>95</v>
      </c>
      <c r="K88" s="5"/>
      <c r="L88" s="6">
        <v>160</v>
      </c>
      <c r="M88" s="61">
        <v>64.5</v>
      </c>
      <c r="N88" s="6">
        <f>15+(145-64.5)*0.7</f>
        <v>71.349999999999994</v>
      </c>
    </row>
    <row r="89" spans="1:14">
      <c r="A89" s="44" t="s">
        <v>190</v>
      </c>
      <c r="B89" s="44"/>
      <c r="C89" s="4"/>
      <c r="D89" s="4">
        <v>44879</v>
      </c>
      <c r="E89" s="35">
        <v>44887</v>
      </c>
      <c r="F89" s="44" t="s">
        <v>161</v>
      </c>
      <c r="G89" s="56">
        <v>10</v>
      </c>
      <c r="H89" s="5">
        <v>14.6</v>
      </c>
      <c r="I89" s="102">
        <f>34/30*8</f>
        <v>9.0666666666666664</v>
      </c>
      <c r="J89" s="5">
        <v>45</v>
      </c>
      <c r="K89" s="5"/>
      <c r="L89" s="6">
        <v>75</v>
      </c>
      <c r="M89" s="61">
        <v>34</v>
      </c>
      <c r="N89" s="56">
        <f>10+(80-34)*0.7</f>
        <v>42.199999999999996</v>
      </c>
    </row>
    <row r="90" spans="1:14">
      <c r="A90" s="44" t="s">
        <v>193</v>
      </c>
      <c r="B90" s="44"/>
      <c r="C90" s="4">
        <v>44872</v>
      </c>
      <c r="D90" s="4">
        <v>44879</v>
      </c>
      <c r="E90" s="35">
        <v>44882</v>
      </c>
      <c r="F90" s="40"/>
      <c r="G90" s="5"/>
      <c r="H90" s="5">
        <v>10.039999999999999</v>
      </c>
      <c r="I90" s="102">
        <f>25/30*3</f>
        <v>2.5</v>
      </c>
      <c r="J90" s="5"/>
      <c r="K90" s="5"/>
      <c r="L90" s="6">
        <v>40</v>
      </c>
      <c r="M90" s="61">
        <v>25</v>
      </c>
      <c r="N90" s="6">
        <f>(L90-M90)*0.7</f>
        <v>10.5</v>
      </c>
    </row>
    <row r="91" spans="1:14">
      <c r="A91" s="44" t="s">
        <v>213</v>
      </c>
      <c r="B91" s="44"/>
      <c r="C91" s="4">
        <v>44894</v>
      </c>
      <c r="D91" s="4">
        <v>44908</v>
      </c>
      <c r="E91" s="35">
        <v>44944</v>
      </c>
      <c r="F91" s="40" t="s">
        <v>161</v>
      </c>
      <c r="G91" s="5">
        <v>15</v>
      </c>
      <c r="H91" s="5">
        <v>31.72</v>
      </c>
      <c r="I91" s="102">
        <f>50/30*35</f>
        <v>58.333333333333336</v>
      </c>
      <c r="J91" s="5">
        <f>60+50</f>
        <v>110</v>
      </c>
      <c r="K91" s="5"/>
      <c r="L91" s="6">
        <v>130</v>
      </c>
      <c r="M91" s="61">
        <f>19+2+3.5*2+11*2</f>
        <v>50</v>
      </c>
      <c r="N91" s="94">
        <f>15+(L91-M91-15)*0.7</f>
        <v>60.5</v>
      </c>
    </row>
    <row r="92" spans="1:14">
      <c r="A92" s="44" t="s">
        <v>227</v>
      </c>
      <c r="B92" s="44"/>
      <c r="C92" s="4">
        <v>44949</v>
      </c>
      <c r="D92" s="4">
        <v>44953</v>
      </c>
      <c r="E92" s="35">
        <v>44966</v>
      </c>
      <c r="F92" s="40" t="s">
        <v>160</v>
      </c>
      <c r="G92" s="5">
        <v>15</v>
      </c>
      <c r="H92" s="5">
        <v>16.38</v>
      </c>
      <c r="I92" s="102">
        <f>61.5/30*12</f>
        <v>24.599999999999998</v>
      </c>
      <c r="J92" s="5">
        <f>50+60</f>
        <v>110</v>
      </c>
      <c r="K92" s="5"/>
      <c r="L92" s="6">
        <v>160</v>
      </c>
      <c r="M92" s="65">
        <f>32.5+7+22</f>
        <v>61.5</v>
      </c>
      <c r="N92" s="59">
        <f>15+(L92-M92-15)*0.7</f>
        <v>73.449999999999989</v>
      </c>
    </row>
    <row r="93" spans="1:14">
      <c r="A93" s="44" t="s">
        <v>228</v>
      </c>
      <c r="B93" s="44"/>
      <c r="C93" s="4">
        <v>44957</v>
      </c>
      <c r="D93" s="4">
        <v>44957</v>
      </c>
      <c r="E93" s="35">
        <v>44977</v>
      </c>
      <c r="F93" s="40"/>
      <c r="G93" s="5"/>
      <c r="H93" s="5">
        <v>20.61</v>
      </c>
      <c r="I93" s="102">
        <f>66/30*20</f>
        <v>44</v>
      </c>
      <c r="J93" s="5">
        <v>90</v>
      </c>
      <c r="K93" s="5"/>
      <c r="L93" s="6">
        <v>155</v>
      </c>
      <c r="M93" s="65">
        <v>54</v>
      </c>
      <c r="N93" s="59">
        <f>(L93-M93)*0.7</f>
        <v>70.699999999999989</v>
      </c>
    </row>
    <row r="94" spans="1:14">
      <c r="A94" s="44" t="s">
        <v>255</v>
      </c>
      <c r="B94" s="44"/>
      <c r="C94" s="35">
        <v>44691</v>
      </c>
      <c r="D94" s="35">
        <v>44994</v>
      </c>
      <c r="E94" s="4">
        <v>44994</v>
      </c>
      <c r="F94" s="40"/>
      <c r="G94" s="40"/>
      <c r="H94" s="5">
        <v>11.03</v>
      </c>
      <c r="I94" s="102">
        <f>25*14</f>
        <v>350</v>
      </c>
      <c r="J94" s="40">
        <f>30+50</f>
        <v>80</v>
      </c>
      <c r="K94" s="40"/>
      <c r="L94" s="6">
        <v>90</v>
      </c>
      <c r="M94" s="6">
        <v>25</v>
      </c>
      <c r="N94" s="59">
        <v>48.5</v>
      </c>
    </row>
    <row r="95" spans="1:14">
      <c r="A95" s="44" t="s">
        <v>187</v>
      </c>
      <c r="B95" s="44"/>
      <c r="C95" s="35"/>
      <c r="D95" s="35">
        <v>44991</v>
      </c>
      <c r="E95" s="4">
        <v>44991</v>
      </c>
      <c r="F95" s="40"/>
      <c r="G95" s="40"/>
      <c r="H95" s="5">
        <v>13.31</v>
      </c>
      <c r="I95" s="102"/>
      <c r="J95" s="40">
        <v>45</v>
      </c>
      <c r="K95" s="40"/>
      <c r="L95" s="6">
        <v>80</v>
      </c>
      <c r="M95" s="6">
        <v>27</v>
      </c>
      <c r="N95" s="59">
        <f>(L95-M95)*0.7</f>
        <v>37.099999999999994</v>
      </c>
    </row>
    <row r="96" spans="1:14">
      <c r="A96" s="76" t="s">
        <v>276</v>
      </c>
      <c r="B96" s="44"/>
      <c r="C96" s="35">
        <v>45061</v>
      </c>
      <c r="D96" s="35">
        <v>45070</v>
      </c>
      <c r="E96" s="4"/>
      <c r="F96" s="40"/>
      <c r="G96" s="40"/>
      <c r="H96" s="5">
        <v>11.48</v>
      </c>
      <c r="I96" s="102">
        <f>21/30*9</f>
        <v>6.3</v>
      </c>
      <c r="J96" s="40"/>
      <c r="K96" s="40"/>
      <c r="L96" s="17">
        <f>50</f>
        <v>50</v>
      </c>
      <c r="M96" s="18">
        <v>21</v>
      </c>
      <c r="N96" s="70">
        <f>(50-21)*0.7</f>
        <v>20.299999999999997</v>
      </c>
    </row>
    <row r="97" spans="1:16">
      <c r="A97" s="76" t="s">
        <v>279</v>
      </c>
      <c r="B97" s="44"/>
      <c r="C97" s="35">
        <v>45065</v>
      </c>
      <c r="D97" s="35">
        <v>45070</v>
      </c>
      <c r="E97" s="4"/>
      <c r="F97" s="40"/>
      <c r="G97" s="40"/>
      <c r="H97" s="5">
        <v>11.48</v>
      </c>
      <c r="I97" s="102">
        <f>21/30*5</f>
        <v>3.5</v>
      </c>
      <c r="J97" s="40"/>
      <c r="K97" s="40"/>
      <c r="L97" s="17">
        <f>50</f>
        <v>50</v>
      </c>
      <c r="M97" s="18">
        <v>21</v>
      </c>
      <c r="N97" s="70">
        <f>(50-21)*0.7</f>
        <v>20.299999999999997</v>
      </c>
    </row>
    <row r="98" spans="1:16">
      <c r="A98" s="76" t="s">
        <v>278</v>
      </c>
      <c r="B98" s="52"/>
      <c r="C98" s="57">
        <v>44973</v>
      </c>
      <c r="D98" s="57">
        <v>45070</v>
      </c>
      <c r="E98" s="24"/>
      <c r="F98" s="48"/>
      <c r="G98" s="48"/>
      <c r="H98" s="25">
        <v>11.48</v>
      </c>
      <c r="I98" s="103">
        <f>21/30*98</f>
        <v>68.599999999999994</v>
      </c>
      <c r="J98" s="48"/>
      <c r="K98" s="48"/>
      <c r="L98" s="17">
        <v>50</v>
      </c>
      <c r="M98" s="26">
        <v>21</v>
      </c>
      <c r="N98" s="85">
        <f>(50-21)*0.7</f>
        <v>20.299999999999997</v>
      </c>
    </row>
    <row r="99" spans="1:16">
      <c r="A99" s="44" t="s">
        <v>289</v>
      </c>
      <c r="B99" s="44"/>
      <c r="C99" s="35">
        <v>45110</v>
      </c>
      <c r="D99" s="35">
        <v>45127</v>
      </c>
      <c r="E99" s="4">
        <v>45110</v>
      </c>
      <c r="F99" s="40"/>
      <c r="G99" s="40"/>
      <c r="H99" s="5">
        <v>13.31</v>
      </c>
      <c r="I99" s="102">
        <f>27/30*17</f>
        <v>15.3</v>
      </c>
      <c r="J99" s="40">
        <v>45</v>
      </c>
      <c r="K99" s="40"/>
      <c r="L99" s="6">
        <v>75</v>
      </c>
      <c r="M99" s="6">
        <v>27</v>
      </c>
      <c r="N99" s="59">
        <f>(L99-M99)*0.7</f>
        <v>33.599999999999994</v>
      </c>
    </row>
    <row r="100" spans="1:16">
      <c r="A100" s="44" t="s">
        <v>292</v>
      </c>
      <c r="B100" s="44"/>
      <c r="C100" s="35">
        <v>45138</v>
      </c>
      <c r="D100" s="35">
        <v>45139</v>
      </c>
      <c r="E100" s="35">
        <v>45162</v>
      </c>
      <c r="F100" s="40"/>
      <c r="G100" s="40"/>
      <c r="H100" s="5">
        <v>12.48</v>
      </c>
      <c r="I100" s="102">
        <f>27/30*23</f>
        <v>20.7</v>
      </c>
      <c r="J100" s="40">
        <v>45</v>
      </c>
      <c r="K100" s="40"/>
      <c r="L100" s="6">
        <v>90</v>
      </c>
      <c r="M100" s="6">
        <v>27</v>
      </c>
      <c r="N100" s="59">
        <f>(L100-M100)*0.7</f>
        <v>44.099999999999994</v>
      </c>
    </row>
    <row r="101" spans="1:16">
      <c r="A101" s="44" t="s">
        <v>293</v>
      </c>
      <c r="B101" s="44"/>
      <c r="C101" s="35">
        <v>45086</v>
      </c>
      <c r="D101" s="35">
        <v>45089</v>
      </c>
      <c r="E101" s="4">
        <v>45103</v>
      </c>
      <c r="F101" s="40"/>
      <c r="G101" s="40"/>
      <c r="H101" s="5">
        <v>11.03</v>
      </c>
      <c r="I101" s="102">
        <f>21/30*14</f>
        <v>9.7999999999999989</v>
      </c>
      <c r="J101" s="40"/>
      <c r="K101" s="40"/>
      <c r="L101" s="6">
        <v>50</v>
      </c>
      <c r="M101" s="6">
        <v>21</v>
      </c>
      <c r="N101" s="59">
        <f>(L101-M101)*0.7</f>
        <v>20.299999999999997</v>
      </c>
    </row>
    <row r="102" spans="1:16">
      <c r="A102" s="44" t="s">
        <v>295</v>
      </c>
      <c r="B102" s="44"/>
      <c r="C102" s="35">
        <v>45228</v>
      </c>
      <c r="D102" s="35">
        <v>45203</v>
      </c>
      <c r="E102" s="4"/>
      <c r="F102" s="40"/>
      <c r="G102" s="40"/>
      <c r="H102" s="5">
        <v>13.31</v>
      </c>
      <c r="I102" s="102">
        <f>27/30*5</f>
        <v>4.5</v>
      </c>
      <c r="J102" s="40">
        <v>45</v>
      </c>
      <c r="K102" s="40"/>
      <c r="L102" s="6">
        <v>80</v>
      </c>
      <c r="M102" s="6">
        <v>27</v>
      </c>
      <c r="N102" s="59">
        <f>(L102-M102)*0.7</f>
        <v>37.099999999999994</v>
      </c>
    </row>
    <row r="103" spans="1:16">
      <c r="A103" s="44" t="s">
        <v>320</v>
      </c>
      <c r="B103" s="44"/>
      <c r="C103" s="35">
        <v>45177</v>
      </c>
      <c r="D103" s="35">
        <v>45196</v>
      </c>
      <c r="E103" s="4"/>
      <c r="F103" s="40"/>
      <c r="G103" s="40"/>
      <c r="H103" s="5">
        <v>10.44</v>
      </c>
      <c r="I103" s="102">
        <f>38/30*21</f>
        <v>26.599999999999998</v>
      </c>
      <c r="J103" s="40"/>
      <c r="K103" s="40"/>
      <c r="L103" s="6">
        <v>69</v>
      </c>
      <c r="M103" s="6">
        <v>38</v>
      </c>
      <c r="N103" s="59">
        <f>(69-38)*0.7</f>
        <v>21.7</v>
      </c>
    </row>
    <row r="104" spans="1:16">
      <c r="A104" s="44" t="s">
        <v>325</v>
      </c>
      <c r="B104" s="44"/>
      <c r="C104" s="35"/>
      <c r="D104" s="35">
        <v>45223</v>
      </c>
      <c r="E104" s="4">
        <v>45239</v>
      </c>
      <c r="F104" s="40"/>
      <c r="G104" s="40"/>
      <c r="H104" s="5">
        <v>40</v>
      </c>
      <c r="I104" s="102">
        <f>43/30*15</f>
        <v>21.5</v>
      </c>
      <c r="J104" s="40"/>
      <c r="K104" s="40"/>
      <c r="L104" s="6">
        <v>69</v>
      </c>
      <c r="M104" s="6">
        <v>43</v>
      </c>
      <c r="N104" s="94">
        <f>(69-43)*0.7</f>
        <v>18.2</v>
      </c>
      <c r="O104" s="72" t="s">
        <v>329</v>
      </c>
      <c r="P104" s="72">
        <v>12.74</v>
      </c>
    </row>
    <row r="105" spans="1:16">
      <c r="A105" s="44" t="s">
        <v>326</v>
      </c>
      <c r="B105" s="44"/>
      <c r="C105" s="35"/>
      <c r="D105" s="35">
        <v>45188</v>
      </c>
      <c r="E105" s="4">
        <v>45209</v>
      </c>
      <c r="F105" s="40"/>
      <c r="G105" s="40"/>
      <c r="H105" s="5">
        <v>11.48</v>
      </c>
      <c r="I105" s="102"/>
      <c r="J105" s="40"/>
      <c r="K105" s="40"/>
      <c r="L105" s="6">
        <v>59</v>
      </c>
      <c r="M105" s="6">
        <v>38</v>
      </c>
      <c r="N105" s="59">
        <f>(L105-M105)*0.7</f>
        <v>14.7</v>
      </c>
    </row>
    <row r="106" spans="1:16">
      <c r="A106" s="44" t="s">
        <v>108</v>
      </c>
      <c r="B106" s="44"/>
      <c r="C106" s="35"/>
      <c r="D106" s="35">
        <v>45231</v>
      </c>
      <c r="E106" s="4">
        <v>45231</v>
      </c>
      <c r="F106" s="40"/>
      <c r="G106" s="40"/>
      <c r="H106" s="5"/>
      <c r="I106" s="102"/>
      <c r="J106" s="40"/>
      <c r="K106" s="40"/>
      <c r="L106" s="6">
        <v>69</v>
      </c>
      <c r="M106" s="6">
        <v>43</v>
      </c>
      <c r="N106" s="59">
        <f>(L106-M106)*0.7</f>
        <v>18.2</v>
      </c>
    </row>
    <row r="107" spans="1:16">
      <c r="A107" s="44" t="s">
        <v>327</v>
      </c>
      <c r="B107" s="44"/>
      <c r="C107" s="35"/>
      <c r="D107" s="35"/>
      <c r="E107" s="4">
        <v>45127</v>
      </c>
      <c r="F107" s="40"/>
      <c r="G107" s="40"/>
      <c r="H107" s="5">
        <v>11.48</v>
      </c>
      <c r="I107" s="102"/>
      <c r="J107" s="40"/>
      <c r="K107" s="40"/>
      <c r="L107" s="6">
        <v>25</v>
      </c>
      <c r="M107" s="6">
        <v>9</v>
      </c>
      <c r="N107" s="59">
        <f>(L107-M107)*0.7</f>
        <v>11.2</v>
      </c>
    </row>
    <row r="108" spans="1:16">
      <c r="A108" s="44" t="s">
        <v>336</v>
      </c>
      <c r="B108" s="44"/>
      <c r="C108" s="35"/>
      <c r="D108" s="35">
        <v>45278</v>
      </c>
      <c r="E108" s="4">
        <v>45278</v>
      </c>
      <c r="F108" s="40"/>
      <c r="G108" s="40"/>
      <c r="H108" s="5"/>
      <c r="I108" s="102"/>
      <c r="J108" s="40"/>
      <c r="K108" s="40"/>
      <c r="L108" s="6">
        <v>69</v>
      </c>
      <c r="M108" s="6">
        <v>43</v>
      </c>
      <c r="N108" s="59">
        <f>(69-43)*0.7/30*42</f>
        <v>25.48</v>
      </c>
    </row>
    <row r="109" spans="1:16">
      <c r="A109" s="44" t="s">
        <v>337</v>
      </c>
      <c r="B109" s="44"/>
      <c r="C109" s="35">
        <v>45342</v>
      </c>
      <c r="D109" s="35">
        <v>44977</v>
      </c>
      <c r="E109" s="4">
        <v>45342</v>
      </c>
      <c r="F109" s="40"/>
      <c r="G109" s="40"/>
      <c r="H109" s="5">
        <v>13.78</v>
      </c>
      <c r="I109" s="102"/>
      <c r="J109" s="40">
        <f>45+50</f>
        <v>95</v>
      </c>
      <c r="K109" s="40"/>
      <c r="L109" s="6">
        <v>100</v>
      </c>
      <c r="M109" s="6">
        <v>38.5</v>
      </c>
      <c r="N109" s="59">
        <f t="shared" ref="N109:N130" si="2">(L109-M109)*0.7</f>
        <v>43.05</v>
      </c>
    </row>
    <row r="110" spans="1:16">
      <c r="A110" s="44" t="s">
        <v>338</v>
      </c>
      <c r="B110" s="44"/>
      <c r="C110" s="35">
        <v>45271</v>
      </c>
      <c r="D110" s="35"/>
      <c r="E110" s="4">
        <v>45301</v>
      </c>
      <c r="F110" s="40"/>
      <c r="G110" s="40"/>
      <c r="H110" s="5">
        <v>14.26</v>
      </c>
      <c r="I110" s="102">
        <f>25/30*29</f>
        <v>24.166666666666668</v>
      </c>
      <c r="J110" s="40">
        <f>30+50</f>
        <v>80</v>
      </c>
      <c r="K110" s="40"/>
      <c r="L110" s="6">
        <v>80</v>
      </c>
      <c r="M110" s="6">
        <v>29</v>
      </c>
      <c r="N110" s="59">
        <f t="shared" si="2"/>
        <v>35.699999999999996</v>
      </c>
      <c r="O110" t="s">
        <v>339</v>
      </c>
    </row>
    <row r="111" spans="1:16">
      <c r="A111" s="44" t="s">
        <v>333</v>
      </c>
      <c r="B111" s="44"/>
      <c r="C111" s="35"/>
      <c r="D111" s="35"/>
      <c r="E111" s="4">
        <v>45336</v>
      </c>
      <c r="F111" s="40"/>
      <c r="G111" s="40"/>
      <c r="H111" s="5">
        <v>10</v>
      </c>
      <c r="I111" s="102">
        <v>0</v>
      </c>
      <c r="J111" s="40">
        <v>120</v>
      </c>
      <c r="K111" s="40"/>
      <c r="L111" s="6">
        <v>160</v>
      </c>
      <c r="M111" s="6">
        <v>72</v>
      </c>
      <c r="N111" s="59">
        <f t="shared" si="2"/>
        <v>61.599999999999994</v>
      </c>
    </row>
    <row r="112" spans="1:16">
      <c r="A112" s="44" t="s">
        <v>343</v>
      </c>
      <c r="B112" s="44"/>
      <c r="C112" s="35"/>
      <c r="D112" s="35"/>
      <c r="E112" s="4">
        <v>45336</v>
      </c>
      <c r="F112" s="40"/>
      <c r="G112" s="40"/>
      <c r="H112" s="5">
        <v>10.92</v>
      </c>
      <c r="I112" s="102"/>
      <c r="J112" s="40"/>
      <c r="K112" s="40"/>
      <c r="L112" s="6">
        <v>59</v>
      </c>
      <c r="M112" s="6">
        <v>38</v>
      </c>
      <c r="N112" s="59">
        <f t="shared" si="2"/>
        <v>14.7</v>
      </c>
    </row>
    <row r="113" spans="1:14">
      <c r="A113" s="44" t="s">
        <v>381</v>
      </c>
      <c r="B113" s="44"/>
      <c r="C113" s="35"/>
      <c r="D113" s="35">
        <v>45323</v>
      </c>
      <c r="E113" s="4">
        <v>45323</v>
      </c>
      <c r="F113" s="40"/>
      <c r="G113" s="40"/>
      <c r="H113" s="5">
        <v>10.92</v>
      </c>
      <c r="I113" s="102"/>
      <c r="J113" s="40"/>
      <c r="K113" s="40"/>
      <c r="L113" s="6">
        <v>59</v>
      </c>
      <c r="M113" s="6">
        <v>38</v>
      </c>
      <c r="N113" s="59">
        <f t="shared" si="2"/>
        <v>14.7</v>
      </c>
    </row>
    <row r="114" spans="1:14">
      <c r="A114" s="44" t="s">
        <v>345</v>
      </c>
      <c r="B114" s="44"/>
      <c r="C114" s="35"/>
      <c r="D114" s="35"/>
      <c r="E114" s="4">
        <v>45345</v>
      </c>
      <c r="F114" s="40"/>
      <c r="G114" s="40"/>
      <c r="H114" s="5">
        <v>24.2</v>
      </c>
      <c r="I114" s="102"/>
      <c r="J114" s="40">
        <v>45</v>
      </c>
      <c r="K114" s="40"/>
      <c r="L114" s="6">
        <v>90</v>
      </c>
      <c r="M114" s="6">
        <f>7+9</f>
        <v>16</v>
      </c>
      <c r="N114" s="59">
        <f t="shared" si="2"/>
        <v>51.8</v>
      </c>
    </row>
    <row r="115" spans="1:14">
      <c r="A115" s="44" t="s">
        <v>346</v>
      </c>
      <c r="B115" s="44"/>
      <c r="C115" s="35"/>
      <c r="D115" s="35"/>
      <c r="E115" s="4">
        <v>45334</v>
      </c>
      <c r="F115" s="40"/>
      <c r="G115" s="40"/>
      <c r="H115" s="5">
        <v>12.01</v>
      </c>
      <c r="I115" s="102"/>
      <c r="J115" s="40">
        <v>15</v>
      </c>
      <c r="K115" s="40"/>
      <c r="L115" s="6">
        <v>20</v>
      </c>
      <c r="M115" s="6">
        <v>9</v>
      </c>
      <c r="N115" s="70">
        <f t="shared" si="2"/>
        <v>7.6999999999999993</v>
      </c>
    </row>
    <row r="116" spans="1:14">
      <c r="A116" s="44" t="s">
        <v>361</v>
      </c>
      <c r="B116" s="44"/>
      <c r="C116" s="35"/>
      <c r="D116" s="35">
        <v>45366</v>
      </c>
      <c r="E116" s="4">
        <v>45385</v>
      </c>
      <c r="F116" s="40"/>
      <c r="G116" s="40"/>
      <c r="H116" s="5"/>
      <c r="I116" s="102">
        <f>69/30*18</f>
        <v>41.4</v>
      </c>
      <c r="J116" s="40"/>
      <c r="K116" s="40"/>
      <c r="L116" s="6">
        <v>69</v>
      </c>
      <c r="M116" s="6">
        <v>43</v>
      </c>
      <c r="N116" s="70">
        <f t="shared" si="2"/>
        <v>18.2</v>
      </c>
    </row>
    <row r="117" spans="1:14">
      <c r="A117" s="44" t="s">
        <v>365</v>
      </c>
      <c r="B117" s="44"/>
      <c r="C117" s="35"/>
      <c r="D117" s="35">
        <v>45450</v>
      </c>
      <c r="E117" s="4">
        <v>45456</v>
      </c>
      <c r="F117" s="40"/>
      <c r="G117" s="40"/>
      <c r="H117" s="5"/>
      <c r="I117" s="102">
        <f>47/30*5</f>
        <v>7.833333333333333</v>
      </c>
      <c r="J117" s="40"/>
      <c r="K117" s="40"/>
      <c r="L117" s="6">
        <v>69</v>
      </c>
      <c r="M117" s="6">
        <v>47</v>
      </c>
      <c r="N117" s="59">
        <f t="shared" si="2"/>
        <v>15.399999999999999</v>
      </c>
    </row>
    <row r="118" spans="1:14">
      <c r="A118" s="44" t="s">
        <v>358</v>
      </c>
      <c r="B118" s="44"/>
      <c r="C118" s="35"/>
      <c r="D118" s="35">
        <v>45468</v>
      </c>
      <c r="E118" s="4">
        <v>45468</v>
      </c>
      <c r="F118" s="40"/>
      <c r="G118" s="40"/>
      <c r="H118" s="5">
        <v>12.01</v>
      </c>
      <c r="I118" s="102"/>
      <c r="J118" s="40"/>
      <c r="K118" s="40"/>
      <c r="L118" s="6">
        <v>59</v>
      </c>
      <c r="M118" s="6">
        <v>38</v>
      </c>
      <c r="N118" s="59">
        <f t="shared" si="2"/>
        <v>14.7</v>
      </c>
    </row>
    <row r="119" spans="1:14">
      <c r="A119" s="44" t="s">
        <v>218</v>
      </c>
      <c r="B119" s="44"/>
      <c r="C119" s="35"/>
      <c r="D119" s="35">
        <v>45456</v>
      </c>
      <c r="E119" s="4">
        <v>45456</v>
      </c>
      <c r="F119" s="40"/>
      <c r="G119" s="40"/>
      <c r="H119" s="5">
        <v>10</v>
      </c>
      <c r="I119" s="102"/>
      <c r="J119" s="40">
        <v>45</v>
      </c>
      <c r="K119" s="40"/>
      <c r="L119" s="6">
        <v>80</v>
      </c>
      <c r="M119" s="6">
        <v>27</v>
      </c>
      <c r="N119" s="59">
        <f t="shared" si="2"/>
        <v>37.099999999999994</v>
      </c>
    </row>
    <row r="120" spans="1:14">
      <c r="A120" s="44" t="s">
        <v>366</v>
      </c>
      <c r="B120" s="44"/>
      <c r="C120" s="35"/>
      <c r="D120" s="35">
        <v>45454</v>
      </c>
      <c r="E120" s="4"/>
      <c r="F120" s="40"/>
      <c r="G120" s="40"/>
      <c r="H120" s="5"/>
      <c r="I120" s="102"/>
      <c r="J120" s="40"/>
      <c r="K120" s="40"/>
      <c r="L120" s="6">
        <v>59</v>
      </c>
      <c r="M120" s="6">
        <v>38</v>
      </c>
      <c r="N120" s="59">
        <f t="shared" si="2"/>
        <v>14.7</v>
      </c>
    </row>
    <row r="121" spans="1:14">
      <c r="A121" s="44" t="s">
        <v>64</v>
      </c>
      <c r="B121" s="44"/>
      <c r="C121" s="35"/>
      <c r="D121" s="35">
        <v>45469</v>
      </c>
      <c r="E121" s="4">
        <v>45469</v>
      </c>
      <c r="F121" s="40"/>
      <c r="G121" s="40"/>
      <c r="H121" s="5"/>
      <c r="I121" s="102"/>
      <c r="J121" s="40"/>
      <c r="K121" s="40"/>
      <c r="L121" s="6">
        <v>100</v>
      </c>
      <c r="M121" s="18">
        <v>5</v>
      </c>
      <c r="N121" s="59">
        <f t="shared" si="2"/>
        <v>66.5</v>
      </c>
    </row>
    <row r="122" spans="1:14">
      <c r="A122" s="44" t="s">
        <v>369</v>
      </c>
      <c r="B122" s="44"/>
      <c r="C122" s="35"/>
      <c r="D122" s="35">
        <v>45464</v>
      </c>
      <c r="E122" s="4">
        <v>41811</v>
      </c>
      <c r="F122" s="40"/>
      <c r="G122" s="40"/>
      <c r="H122" s="5">
        <v>24.98</v>
      </c>
      <c r="I122" s="102"/>
      <c r="J122" s="40">
        <v>15</v>
      </c>
      <c r="K122" s="40"/>
      <c r="L122" s="6">
        <v>80</v>
      </c>
      <c r="M122" s="6">
        <v>42.5</v>
      </c>
      <c r="N122" s="59">
        <f t="shared" si="2"/>
        <v>26.25</v>
      </c>
    </row>
    <row r="123" spans="1:14">
      <c r="A123" s="44" t="s">
        <v>370</v>
      </c>
      <c r="B123" s="44"/>
      <c r="C123" s="35"/>
      <c r="D123" s="35">
        <v>45444</v>
      </c>
      <c r="E123" s="4">
        <v>41791</v>
      </c>
      <c r="F123" s="40"/>
      <c r="G123" s="40"/>
      <c r="H123" s="5">
        <v>12.98</v>
      </c>
      <c r="I123" s="102"/>
      <c r="J123" s="40">
        <v>30</v>
      </c>
      <c r="K123" s="40"/>
      <c r="L123" s="6">
        <v>65</v>
      </c>
      <c r="M123" s="6">
        <v>18</v>
      </c>
      <c r="N123" s="59">
        <f t="shared" si="2"/>
        <v>32.9</v>
      </c>
    </row>
    <row r="124" spans="1:14">
      <c r="A124" s="44" t="s">
        <v>375</v>
      </c>
      <c r="B124" s="44"/>
      <c r="C124" s="35"/>
      <c r="D124" s="35">
        <v>45471</v>
      </c>
      <c r="E124" s="35">
        <v>45471</v>
      </c>
      <c r="F124" s="40"/>
      <c r="G124" s="40"/>
      <c r="H124" s="5">
        <f>10+12.01</f>
        <v>22.009999999999998</v>
      </c>
      <c r="I124" s="102"/>
      <c r="J124" s="40">
        <v>30</v>
      </c>
      <c r="K124" s="40"/>
      <c r="L124" s="6">
        <v>90</v>
      </c>
      <c r="M124" s="18">
        <f>38.5+1+18</f>
        <v>57.5</v>
      </c>
      <c r="N124" s="70">
        <f t="shared" si="2"/>
        <v>22.75</v>
      </c>
    </row>
    <row r="125" spans="1:14">
      <c r="A125" s="44" t="s">
        <v>83</v>
      </c>
      <c r="B125" s="44"/>
      <c r="C125" s="35"/>
      <c r="D125" s="35">
        <v>45482</v>
      </c>
      <c r="E125" s="35">
        <v>45482</v>
      </c>
      <c r="F125" s="40"/>
      <c r="G125" s="40"/>
      <c r="H125" s="5"/>
      <c r="I125" s="102"/>
      <c r="J125" s="40"/>
      <c r="K125" s="40"/>
      <c r="L125" s="6">
        <v>69</v>
      </c>
      <c r="M125" s="18">
        <v>43</v>
      </c>
      <c r="N125" s="70">
        <f t="shared" si="2"/>
        <v>18.2</v>
      </c>
    </row>
    <row r="126" spans="1:14">
      <c r="A126" s="44" t="s">
        <v>383</v>
      </c>
      <c r="B126" s="44"/>
      <c r="C126" s="35"/>
      <c r="D126" s="35">
        <v>45434</v>
      </c>
      <c r="E126" s="35">
        <v>45513</v>
      </c>
      <c r="F126" s="40"/>
      <c r="G126" s="40"/>
      <c r="H126" s="5">
        <v>14.58</v>
      </c>
      <c r="I126" s="102"/>
      <c r="J126" s="40"/>
      <c r="K126" s="40"/>
      <c r="L126" s="6">
        <v>69</v>
      </c>
      <c r="M126" s="18">
        <v>43</v>
      </c>
      <c r="N126" s="70">
        <f t="shared" si="2"/>
        <v>18.2</v>
      </c>
    </row>
    <row r="127" spans="1:14">
      <c r="A127" s="44" t="s">
        <v>384</v>
      </c>
      <c r="B127" s="44"/>
      <c r="C127" s="35"/>
      <c r="D127" s="35"/>
      <c r="E127" s="35">
        <v>45513</v>
      </c>
      <c r="F127" s="40"/>
      <c r="G127" s="40"/>
      <c r="H127" s="5"/>
      <c r="I127" s="102"/>
      <c r="J127" s="40">
        <v>60</v>
      </c>
      <c r="K127" s="40"/>
      <c r="L127" s="6">
        <v>105</v>
      </c>
      <c r="M127" s="6">
        <v>36</v>
      </c>
      <c r="N127" s="70">
        <f t="shared" si="2"/>
        <v>48.3</v>
      </c>
    </row>
    <row r="128" spans="1:14">
      <c r="A128" s="44" t="s">
        <v>389</v>
      </c>
      <c r="B128" s="44"/>
      <c r="C128" s="35"/>
      <c r="D128" s="35">
        <v>45574</v>
      </c>
      <c r="E128" s="35">
        <v>45574</v>
      </c>
      <c r="F128" s="40"/>
      <c r="G128" s="40"/>
      <c r="H128" s="5"/>
      <c r="I128" s="102"/>
      <c r="J128" s="40"/>
      <c r="K128" s="40"/>
      <c r="L128" s="6">
        <v>10</v>
      </c>
      <c r="M128" s="6">
        <v>1</v>
      </c>
      <c r="N128" s="59">
        <f t="shared" si="2"/>
        <v>6.3</v>
      </c>
    </row>
    <row r="129" spans="1:14">
      <c r="A129" s="44" t="s">
        <v>397</v>
      </c>
      <c r="B129" s="44"/>
      <c r="C129" s="35"/>
      <c r="D129" s="35">
        <v>45510</v>
      </c>
      <c r="E129" s="35">
        <v>45574</v>
      </c>
      <c r="F129" s="40"/>
      <c r="G129" s="40"/>
      <c r="H129" s="5">
        <v>31.89</v>
      </c>
      <c r="I129" s="102">
        <f>79/30*63*0.5</f>
        <v>82.95</v>
      </c>
      <c r="J129" s="40">
        <v>60</v>
      </c>
      <c r="K129" s="40"/>
      <c r="L129" s="6">
        <v>174</v>
      </c>
      <c r="M129" s="6">
        <v>79</v>
      </c>
      <c r="N129" s="59">
        <f t="shared" si="2"/>
        <v>66.5</v>
      </c>
    </row>
    <row r="130" spans="1:14">
      <c r="A130" s="44" t="s">
        <v>398</v>
      </c>
      <c r="B130" s="44"/>
      <c r="C130" s="35"/>
      <c r="D130" s="35">
        <v>45516</v>
      </c>
      <c r="E130" s="35">
        <v>45583</v>
      </c>
      <c r="F130" s="40"/>
      <c r="G130" s="40"/>
      <c r="H130" s="5"/>
      <c r="I130" s="102">
        <f>56.5/30*66*0.5</f>
        <v>62.15</v>
      </c>
      <c r="J130" s="40">
        <v>75</v>
      </c>
      <c r="K130" s="40"/>
      <c r="L130" s="6">
        <v>140</v>
      </c>
      <c r="M130" s="6">
        <v>56.5</v>
      </c>
      <c r="N130" s="59">
        <f t="shared" si="2"/>
        <v>58.449999999999996</v>
      </c>
    </row>
    <row r="131" spans="1:14">
      <c r="A131" s="44" t="s">
        <v>390</v>
      </c>
      <c r="B131" s="44"/>
      <c r="C131" s="35"/>
      <c r="D131" s="35">
        <v>45573</v>
      </c>
      <c r="E131" s="35">
        <v>45621</v>
      </c>
      <c r="F131" s="40"/>
      <c r="G131" s="40"/>
      <c r="H131" s="5">
        <v>16.940000000000001</v>
      </c>
      <c r="I131" s="102">
        <f>47.5/30*47</f>
        <v>74.416666666666657</v>
      </c>
      <c r="J131" s="40">
        <v>60</v>
      </c>
      <c r="K131" s="40"/>
      <c r="L131" s="6">
        <v>130</v>
      </c>
      <c r="M131" s="6">
        <v>63.5</v>
      </c>
      <c r="N131" s="59">
        <f>(L131-M131)*0.7</f>
        <v>46.55</v>
      </c>
    </row>
    <row r="132" spans="1:14">
      <c r="A132" s="44" t="s">
        <v>406</v>
      </c>
      <c r="B132" s="44"/>
      <c r="C132" s="35">
        <v>45624</v>
      </c>
      <c r="D132" s="35">
        <v>45631</v>
      </c>
      <c r="E132" s="35">
        <v>45631</v>
      </c>
      <c r="F132" s="40"/>
      <c r="G132" s="40"/>
      <c r="H132" s="5">
        <v>13.98</v>
      </c>
      <c r="I132" s="102"/>
      <c r="J132" s="40">
        <v>15</v>
      </c>
      <c r="K132" s="40"/>
      <c r="L132" s="6">
        <v>59</v>
      </c>
      <c r="M132" s="6">
        <v>38</v>
      </c>
      <c r="N132" s="59">
        <f>(L132-M132)*0.7</f>
        <v>14.7</v>
      </c>
    </row>
    <row r="133" spans="1:14">
      <c r="A133" s="44" t="s">
        <v>410</v>
      </c>
      <c r="B133" s="44"/>
      <c r="C133" s="35"/>
      <c r="D133" s="35"/>
      <c r="E133" s="35">
        <v>45613</v>
      </c>
      <c r="F133" s="40"/>
      <c r="G133" s="40"/>
      <c r="H133" s="5">
        <v>10</v>
      </c>
      <c r="I133" s="102">
        <f>-(14*14+14/30*13)</f>
        <v>-202.06666666666666</v>
      </c>
      <c r="J133" s="40">
        <v>15</v>
      </c>
      <c r="K133" s="40"/>
      <c r="L133" s="6">
        <v>30</v>
      </c>
      <c r="M133" s="6">
        <v>10</v>
      </c>
      <c r="N133" s="59">
        <f t="shared" ref="N133:N139" si="3">(L133-M133)*0.7</f>
        <v>14</v>
      </c>
    </row>
    <row r="134" spans="1:14">
      <c r="A134" s="44" t="s">
        <v>408</v>
      </c>
      <c r="B134" s="44"/>
      <c r="C134" s="35"/>
      <c r="D134" s="35">
        <v>45642</v>
      </c>
      <c r="E134" s="35">
        <v>45706</v>
      </c>
      <c r="F134" s="40"/>
      <c r="G134" s="40"/>
      <c r="H134" s="5">
        <v>31.21</v>
      </c>
      <c r="I134" s="102">
        <f>50/30*62</f>
        <v>103.33333333333334</v>
      </c>
      <c r="J134" s="40">
        <f>15*7</f>
        <v>105</v>
      </c>
      <c r="K134" s="40"/>
      <c r="L134" s="6">
        <v>210</v>
      </c>
      <c r="M134" s="6">
        <v>94</v>
      </c>
      <c r="N134" s="59">
        <f t="shared" si="3"/>
        <v>81.199999999999989</v>
      </c>
    </row>
    <row r="135" spans="1:14">
      <c r="A135" s="44" t="s">
        <v>402</v>
      </c>
      <c r="B135" s="44"/>
      <c r="C135" s="35"/>
      <c r="D135" s="35">
        <v>45637</v>
      </c>
      <c r="E135" s="35">
        <v>45698</v>
      </c>
      <c r="F135" s="40"/>
      <c r="G135" s="40"/>
      <c r="H135" s="5">
        <v>13.98</v>
      </c>
      <c r="I135" s="102">
        <f>45/30*59</f>
        <v>88.5</v>
      </c>
      <c r="J135" s="40">
        <v>30</v>
      </c>
      <c r="K135" s="40"/>
      <c r="L135" s="6">
        <v>120</v>
      </c>
      <c r="M135" s="6">
        <v>45</v>
      </c>
      <c r="N135" s="59">
        <f t="shared" si="3"/>
        <v>52.5</v>
      </c>
    </row>
    <row r="136" spans="1:14">
      <c r="A136" s="44" t="s">
        <v>392</v>
      </c>
      <c r="B136" s="44"/>
      <c r="C136" s="35"/>
      <c r="D136" s="35"/>
      <c r="E136" s="35">
        <v>45694</v>
      </c>
      <c r="F136" s="40"/>
      <c r="G136" s="40"/>
      <c r="H136" s="5">
        <v>31.89</v>
      </c>
      <c r="I136" s="102" t="s">
        <v>414</v>
      </c>
      <c r="J136" s="40">
        <v>75</v>
      </c>
      <c r="K136" s="40"/>
      <c r="L136" s="6">
        <v>145</v>
      </c>
      <c r="M136" s="6">
        <v>72</v>
      </c>
      <c r="N136" s="59">
        <f t="shared" si="3"/>
        <v>51.099999999999994</v>
      </c>
    </row>
    <row r="137" spans="1:14">
      <c r="A137" s="44" t="s">
        <v>413</v>
      </c>
      <c r="B137" s="44"/>
      <c r="C137" s="35"/>
      <c r="D137" s="35"/>
      <c r="E137" s="35">
        <v>45730</v>
      </c>
      <c r="F137" s="40"/>
      <c r="G137" s="40"/>
      <c r="H137" s="5">
        <v>15.34</v>
      </c>
      <c r="I137" s="102"/>
      <c r="J137" s="40"/>
      <c r="K137" s="40"/>
      <c r="L137" s="6">
        <v>80</v>
      </c>
      <c r="M137" s="6">
        <v>28</v>
      </c>
      <c r="N137" s="59">
        <f t="shared" si="3"/>
        <v>36.4</v>
      </c>
    </row>
    <row r="138" spans="1:14">
      <c r="A138" s="44" t="s">
        <v>418</v>
      </c>
      <c r="B138" s="44"/>
      <c r="C138" s="35"/>
      <c r="D138" s="35"/>
      <c r="E138" s="35">
        <v>45737</v>
      </c>
      <c r="F138" s="40"/>
      <c r="G138" s="40"/>
      <c r="H138" s="5">
        <v>32.17</v>
      </c>
      <c r="I138" s="102"/>
      <c r="J138" s="40">
        <v>90</v>
      </c>
      <c r="K138" s="40"/>
      <c r="L138" s="6">
        <v>150</v>
      </c>
      <c r="M138" s="6">
        <v>43</v>
      </c>
      <c r="N138" s="59">
        <f t="shared" si="3"/>
        <v>74.899999999999991</v>
      </c>
    </row>
    <row r="139" spans="1:14">
      <c r="A139" s="44" t="s">
        <v>417</v>
      </c>
      <c r="B139" s="44"/>
      <c r="C139" s="35"/>
      <c r="D139" s="35"/>
      <c r="E139" s="35">
        <v>45687</v>
      </c>
      <c r="F139" s="40"/>
      <c r="G139" s="40"/>
      <c r="H139" s="5"/>
      <c r="I139" s="102"/>
      <c r="J139" s="40">
        <v>40</v>
      </c>
      <c r="K139" s="40"/>
      <c r="L139" s="6">
        <v>59</v>
      </c>
      <c r="M139" s="6">
        <v>43</v>
      </c>
      <c r="N139" s="59">
        <f t="shared" si="3"/>
        <v>11.2</v>
      </c>
    </row>
    <row r="140" spans="1:14">
      <c r="A140" s="44" t="s">
        <v>423</v>
      </c>
      <c r="B140" s="44"/>
      <c r="C140" s="35"/>
      <c r="D140" s="35"/>
      <c r="E140" s="35">
        <v>45714</v>
      </c>
      <c r="F140" s="40"/>
      <c r="G140" s="40"/>
      <c r="H140" s="5"/>
      <c r="I140" s="102"/>
      <c r="J140" s="40"/>
      <c r="K140" s="40"/>
      <c r="L140" s="6">
        <v>50</v>
      </c>
      <c r="M140" s="6">
        <v>41</v>
      </c>
      <c r="N140" s="59">
        <f>(L140-M140)*0.7</f>
        <v>6.3</v>
      </c>
    </row>
    <row r="141" spans="1:14">
      <c r="A141" s="44" t="s">
        <v>424</v>
      </c>
      <c r="B141" s="44"/>
      <c r="C141" s="35"/>
      <c r="D141" s="35"/>
      <c r="E141" s="35">
        <v>45750</v>
      </c>
      <c r="F141" s="40"/>
      <c r="G141" s="40"/>
      <c r="H141" s="5">
        <v>15.34</v>
      </c>
      <c r="I141" s="102"/>
      <c r="J141" s="40">
        <v>30</v>
      </c>
      <c r="K141" s="40"/>
      <c r="L141" s="6">
        <v>45</v>
      </c>
      <c r="M141" s="6">
        <v>7</v>
      </c>
      <c r="N141" s="59">
        <f>(L141-M141)*0.7</f>
        <v>26.599999999999998</v>
      </c>
    </row>
    <row r="142" spans="1:14">
      <c r="A142" s="44" t="s">
        <v>425</v>
      </c>
      <c r="B142" s="44"/>
      <c r="C142" s="35"/>
      <c r="D142" s="35"/>
      <c r="E142" s="35">
        <v>45765</v>
      </c>
      <c r="F142" s="40"/>
      <c r="G142" s="40"/>
      <c r="H142" s="5">
        <v>14.54</v>
      </c>
      <c r="I142" s="102"/>
      <c r="J142" s="40"/>
      <c r="K142" s="40"/>
      <c r="L142" s="6">
        <v>220</v>
      </c>
      <c r="M142" s="6">
        <v>99</v>
      </c>
      <c r="N142" s="59">
        <f>(L142-M142)*0.7</f>
        <v>84.699999999999989</v>
      </c>
    </row>
    <row r="143" spans="1:14">
      <c r="A143" s="72" t="s">
        <v>430</v>
      </c>
      <c r="B143" s="76"/>
      <c r="C143" s="36"/>
      <c r="D143" s="36"/>
      <c r="E143" s="36">
        <v>45755</v>
      </c>
      <c r="F143" s="71"/>
      <c r="G143" s="71"/>
      <c r="H143" s="16"/>
      <c r="I143" s="109"/>
      <c r="J143" s="71"/>
      <c r="K143" s="71"/>
      <c r="L143" s="17">
        <v>59</v>
      </c>
      <c r="M143" s="18">
        <v>38.5</v>
      </c>
      <c r="N143" s="70">
        <f>(L143-M143)*0.7/30*52</f>
        <v>24.873333333333335</v>
      </c>
    </row>
    <row r="144" spans="1:14">
      <c r="C144" s="36"/>
      <c r="D144" s="36"/>
      <c r="F144" s="28"/>
      <c r="G144" s="28"/>
      <c r="H144" s="30"/>
      <c r="I144" s="30"/>
      <c r="M144" s="62" t="s">
        <v>4</v>
      </c>
      <c r="N144" s="18">
        <f>SUM(N2:N143)</f>
        <v>5241.1033333333316</v>
      </c>
    </row>
    <row r="145" spans="1:16">
      <c r="C145" s="36"/>
      <c r="D145" s="36"/>
      <c r="F145" s="28"/>
      <c r="G145" s="28"/>
      <c r="H145" s="30"/>
      <c r="I145" s="104"/>
      <c r="M145" s="61" t="s">
        <v>251</v>
      </c>
      <c r="N145" s="6">
        <f>N144-653.17</f>
        <v>4587.9333333333316</v>
      </c>
    </row>
    <row r="146" spans="1:16">
      <c r="C146" s="36"/>
      <c r="D146" s="36"/>
      <c r="F146" s="28"/>
      <c r="G146" s="28"/>
      <c r="H146" s="30"/>
      <c r="I146" s="104"/>
    </row>
    <row r="148" spans="1:16">
      <c r="A148" s="28"/>
      <c r="B148" s="28"/>
      <c r="E148" s="15"/>
      <c r="F148" s="1"/>
      <c r="G148" s="1"/>
      <c r="H148" s="1"/>
      <c r="J148" s="1"/>
      <c r="K148" s="1"/>
      <c r="L148" s="1"/>
      <c r="M148" s="1"/>
      <c r="N148" s="29"/>
    </row>
    <row r="149" spans="1:16">
      <c r="K149" t="s">
        <v>426</v>
      </c>
      <c r="L149" s="1"/>
      <c r="M149" s="1"/>
    </row>
    <row r="150" spans="1:16">
      <c r="H150" s="30"/>
      <c r="K150" t="s">
        <v>429</v>
      </c>
      <c r="L150" s="1"/>
      <c r="M150">
        <v>112</v>
      </c>
    </row>
    <row r="151" spans="1:16">
      <c r="K151" t="s">
        <v>297</v>
      </c>
      <c r="M151">
        <v>-600</v>
      </c>
      <c r="P151" s="42"/>
    </row>
    <row r="152" spans="1:16">
      <c r="K152" t="s">
        <v>431</v>
      </c>
      <c r="L152" s="1"/>
      <c r="M152" s="66">
        <v>-40</v>
      </c>
    </row>
    <row r="153" spans="1:16">
      <c r="K153" t="s">
        <v>432</v>
      </c>
      <c r="L153" s="1"/>
      <c r="M153" s="66">
        <v>-61.17</v>
      </c>
      <c r="N153" s="108"/>
      <c r="P153" s="42"/>
    </row>
    <row r="154" spans="1:16">
      <c r="K154" t="s">
        <v>433</v>
      </c>
      <c r="L154" s="1"/>
      <c r="M154" s="66">
        <v>-64</v>
      </c>
    </row>
    <row r="155" spans="1:16">
      <c r="L155" s="1"/>
      <c r="N155" s="1"/>
      <c r="P155" s="42"/>
    </row>
    <row r="156" spans="1:16">
      <c r="L156" s="1"/>
    </row>
    <row r="157" spans="1:16">
      <c r="L157" s="1"/>
    </row>
  </sheetData>
  <autoFilter ref="A1:P145">
    <sortState ref="A2:P93">
      <sortCondition ref="B1:B93"/>
    </sortState>
  </autoFilter>
  <pageMargins left="0.7" right="0.7" top="0.75" bottom="0.75" header="0.3" footer="0.3"/>
  <pageSetup paperSize="9" orientation="portrait" r:id="rId1"/>
</worksheet>
</file>

<file path=xl/worksheets/sheet98.xml><?xml version="1.0" encoding="utf-8"?>
<worksheet xmlns="http://schemas.openxmlformats.org/spreadsheetml/2006/main" xmlns:r="http://schemas.openxmlformats.org/officeDocument/2006/relationships">
  <dimension ref="A1:P154"/>
  <sheetViews>
    <sheetView topLeftCell="B137" workbookViewId="0">
      <selection activeCell="F149" sqref="F149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1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31</v>
      </c>
      <c r="B13" s="2"/>
      <c r="C13" s="4">
        <v>42735</v>
      </c>
      <c r="D13" s="4"/>
      <c r="E13" s="4">
        <v>42782</v>
      </c>
      <c r="F13" s="5">
        <v>50</v>
      </c>
      <c r="G13" s="49"/>
      <c r="H13" s="5">
        <v>20.63</v>
      </c>
      <c r="I13" s="102">
        <f>M13/30*46</f>
        <v>42.933333333333337</v>
      </c>
      <c r="J13" s="5"/>
      <c r="K13" s="5"/>
      <c r="L13" s="6">
        <v>92</v>
      </c>
      <c r="M13" s="61">
        <v>28</v>
      </c>
      <c r="N13" s="6">
        <f t="shared" si="0"/>
        <v>44.8</v>
      </c>
    </row>
    <row r="14" spans="1:15">
      <c r="A14" s="2" t="s">
        <v>32</v>
      </c>
      <c r="B14" s="2"/>
      <c r="C14" s="4">
        <v>42857</v>
      </c>
      <c r="D14" s="4"/>
      <c r="E14" s="4">
        <v>42866</v>
      </c>
      <c r="F14" s="5"/>
      <c r="G14" s="49"/>
      <c r="H14" s="5"/>
      <c r="I14" s="102">
        <f>23/30*9</f>
        <v>6.9</v>
      </c>
      <c r="J14" s="5">
        <f>60*0.7</f>
        <v>42</v>
      </c>
      <c r="K14" s="5"/>
      <c r="L14" s="6">
        <v>60</v>
      </c>
      <c r="M14" s="61">
        <v>23</v>
      </c>
      <c r="N14" s="6">
        <f t="shared" si="0"/>
        <v>25.9</v>
      </c>
    </row>
    <row r="15" spans="1:15">
      <c r="A15" s="2" t="s">
        <v>37</v>
      </c>
      <c r="B15" s="2"/>
      <c r="C15" s="4">
        <v>42891</v>
      </c>
      <c r="D15" s="4"/>
      <c r="E15" s="4">
        <v>42915</v>
      </c>
      <c r="F15" s="5"/>
      <c r="G15" s="49"/>
      <c r="H15" s="5">
        <v>6.83</v>
      </c>
      <c r="I15" s="102">
        <f>24/30*24</f>
        <v>19.200000000000003</v>
      </c>
      <c r="J15" s="5"/>
      <c r="K15" s="5"/>
      <c r="L15" s="6">
        <v>70</v>
      </c>
      <c r="M15" s="61">
        <v>24</v>
      </c>
      <c r="N15" s="6">
        <f t="shared" si="0"/>
        <v>32.199999999999996</v>
      </c>
    </row>
    <row r="16" spans="1:15">
      <c r="A16" s="2" t="s">
        <v>39</v>
      </c>
      <c r="B16" s="2"/>
      <c r="C16" s="4">
        <v>43081</v>
      </c>
      <c r="D16" s="4"/>
      <c r="E16" s="4">
        <v>43109</v>
      </c>
      <c r="F16" s="5"/>
      <c r="G16" s="49"/>
      <c r="H16" s="5">
        <v>9.83</v>
      </c>
      <c r="I16" s="102">
        <f>36/30*28</f>
        <v>33.6</v>
      </c>
      <c r="J16" s="5"/>
      <c r="K16" s="5"/>
      <c r="L16" s="6">
        <v>120</v>
      </c>
      <c r="M16" s="61">
        <v>36</v>
      </c>
      <c r="N16" s="6">
        <f t="shared" si="0"/>
        <v>58.8</v>
      </c>
    </row>
    <row r="17" spans="1:15">
      <c r="A17" s="22" t="s">
        <v>56</v>
      </c>
      <c r="B17" s="22"/>
      <c r="C17" s="4">
        <v>43361</v>
      </c>
      <c r="D17" s="4"/>
      <c r="E17" s="4">
        <v>43132</v>
      </c>
      <c r="F17" s="5"/>
      <c r="G17" s="49"/>
      <c r="H17" s="5">
        <v>14.11</v>
      </c>
      <c r="I17" s="102">
        <f>25*4+25/30*12</f>
        <v>110</v>
      </c>
      <c r="J17" s="5"/>
      <c r="K17" s="5"/>
      <c r="L17" s="6">
        <v>75</v>
      </c>
      <c r="M17" s="61">
        <v>25</v>
      </c>
      <c r="N17" s="6">
        <f t="shared" si="0"/>
        <v>35</v>
      </c>
    </row>
    <row r="18" spans="1:15">
      <c r="A18" s="2" t="s">
        <v>44</v>
      </c>
      <c r="B18" s="2"/>
      <c r="C18" s="4">
        <v>43196</v>
      </c>
      <c r="D18" s="4"/>
      <c r="E18" s="4">
        <v>43250</v>
      </c>
      <c r="F18" s="5"/>
      <c r="G18" s="49"/>
      <c r="H18" s="5">
        <v>13.78</v>
      </c>
      <c r="I18" s="102">
        <f>25*24/30+25</f>
        <v>45</v>
      </c>
      <c r="J18" s="5"/>
      <c r="K18" s="5"/>
      <c r="L18" s="6">
        <v>11</v>
      </c>
      <c r="M18" s="61">
        <v>25</v>
      </c>
      <c r="N18" s="6">
        <v>9.7999999999999989</v>
      </c>
    </row>
    <row r="19" spans="1:15">
      <c r="A19" s="22" t="s">
        <v>47</v>
      </c>
      <c r="B19" s="22"/>
      <c r="C19" s="4">
        <v>43355</v>
      </c>
      <c r="D19" s="4"/>
      <c r="E19" s="4">
        <v>43277</v>
      </c>
      <c r="F19" s="5"/>
      <c r="G19" s="49"/>
      <c r="H19" s="5">
        <v>19.98</v>
      </c>
      <c r="I19" s="102">
        <f>36*2+36/30*16</f>
        <v>91.2</v>
      </c>
      <c r="J19" s="5"/>
      <c r="K19" s="5"/>
      <c r="L19" s="6">
        <v>105</v>
      </c>
      <c r="M19" s="61">
        <v>36</v>
      </c>
      <c r="N19" s="6">
        <f t="shared" si="0"/>
        <v>48.3</v>
      </c>
    </row>
    <row r="20" spans="1:15">
      <c r="A20" s="22" t="s">
        <v>48</v>
      </c>
      <c r="B20" s="22"/>
      <c r="C20" s="4">
        <v>43367</v>
      </c>
      <c r="D20" s="4"/>
      <c r="E20" s="4">
        <v>43284</v>
      </c>
      <c r="F20" s="5"/>
      <c r="G20" s="49"/>
      <c r="H20" s="5">
        <v>9.1</v>
      </c>
      <c r="I20" s="102">
        <f>25+25/30*27</f>
        <v>47.5</v>
      </c>
      <c r="J20" s="5"/>
      <c r="K20" s="5"/>
      <c r="L20" s="6">
        <v>75</v>
      </c>
      <c r="M20" s="61">
        <v>25</v>
      </c>
      <c r="N20" s="6">
        <f t="shared" si="0"/>
        <v>35</v>
      </c>
    </row>
    <row r="21" spans="1:15">
      <c r="A21" s="2" t="s">
        <v>45</v>
      </c>
      <c r="B21" s="2"/>
      <c r="C21" s="4"/>
      <c r="D21" s="4"/>
      <c r="E21" s="4">
        <v>43286</v>
      </c>
      <c r="F21" s="5"/>
      <c r="G21" s="49"/>
      <c r="H21" s="5">
        <v>11.56</v>
      </c>
      <c r="I21" s="102"/>
      <c r="J21" s="5"/>
      <c r="K21" s="5"/>
      <c r="L21" s="6">
        <v>150</v>
      </c>
      <c r="M21" s="61">
        <v>76</v>
      </c>
      <c r="N21" s="6">
        <f t="shared" si="0"/>
        <v>51.8</v>
      </c>
      <c r="O21" s="20"/>
    </row>
    <row r="22" spans="1:15">
      <c r="A22" s="22" t="s">
        <v>49</v>
      </c>
      <c r="B22" s="22"/>
      <c r="C22" s="4">
        <v>43367</v>
      </c>
      <c r="D22" s="4"/>
      <c r="E22" s="4">
        <v>43291</v>
      </c>
      <c r="F22" s="5"/>
      <c r="G22" s="49"/>
      <c r="H22" s="5">
        <v>10.039999999999999</v>
      </c>
      <c r="I22" s="102">
        <f>50+25/30*14</f>
        <v>61.666666666666671</v>
      </c>
      <c r="J22" s="5"/>
      <c r="K22" s="5"/>
      <c r="L22" s="6">
        <v>50</v>
      </c>
      <c r="M22" s="61">
        <v>22</v>
      </c>
      <c r="N22" s="18">
        <f t="shared" si="0"/>
        <v>19.599999999999998</v>
      </c>
    </row>
    <row r="23" spans="1:15">
      <c r="A23" s="22" t="s">
        <v>51</v>
      </c>
      <c r="B23" s="22"/>
      <c r="C23" s="4">
        <v>43358</v>
      </c>
      <c r="D23" s="4"/>
      <c r="E23" s="4">
        <v>43291</v>
      </c>
      <c r="F23" s="5"/>
      <c r="G23" s="49"/>
      <c r="H23" s="5">
        <v>10.039999999999999</v>
      </c>
      <c r="I23" s="102">
        <f>50+25/30*5</f>
        <v>54.166666666666664</v>
      </c>
      <c r="J23" s="5"/>
      <c r="K23" s="5"/>
      <c r="L23" s="6">
        <v>75</v>
      </c>
      <c r="M23" s="61">
        <v>25</v>
      </c>
      <c r="N23" s="6">
        <f t="shared" si="0"/>
        <v>35</v>
      </c>
    </row>
    <row r="24" spans="1:15">
      <c r="A24" s="22" t="s">
        <v>52</v>
      </c>
      <c r="B24" s="22"/>
      <c r="C24" s="4">
        <v>43367</v>
      </c>
      <c r="D24" s="4"/>
      <c r="E24" s="4">
        <v>43308</v>
      </c>
      <c r="F24" s="5"/>
      <c r="G24" s="49"/>
      <c r="H24" s="5">
        <v>10.86</v>
      </c>
      <c r="I24" s="102">
        <f>25+25/30*27</f>
        <v>47.5</v>
      </c>
      <c r="J24" s="5"/>
      <c r="K24" s="5"/>
      <c r="L24" s="6">
        <v>75</v>
      </c>
      <c r="M24" s="61">
        <v>25</v>
      </c>
      <c r="N24" s="27">
        <f t="shared" si="0"/>
        <v>35</v>
      </c>
    </row>
    <row r="25" spans="1:15">
      <c r="A25" s="22" t="s">
        <v>50</v>
      </c>
      <c r="B25" s="22"/>
      <c r="C25" s="4">
        <v>43367</v>
      </c>
      <c r="D25" s="4"/>
      <c r="E25" s="4">
        <v>43312</v>
      </c>
      <c r="F25" s="5"/>
      <c r="G25" s="49"/>
      <c r="H25" s="5">
        <v>10.86</v>
      </c>
      <c r="I25" s="102">
        <f>25+25/30*24</f>
        <v>45</v>
      </c>
      <c r="J25" s="5"/>
      <c r="K25" s="5"/>
      <c r="L25" s="6">
        <v>70</v>
      </c>
      <c r="M25" s="61">
        <v>25</v>
      </c>
      <c r="N25" s="6">
        <f t="shared" si="0"/>
        <v>31.499999999999996</v>
      </c>
    </row>
    <row r="26" spans="1:15">
      <c r="A26" s="22" t="s">
        <v>55</v>
      </c>
      <c r="B26" s="22"/>
      <c r="C26" s="4">
        <v>43363</v>
      </c>
      <c r="D26" s="4"/>
      <c r="E26" s="4">
        <v>43440</v>
      </c>
      <c r="F26" s="5"/>
      <c r="G26" s="49"/>
      <c r="H26" s="5">
        <v>14.11</v>
      </c>
      <c r="I26" s="102">
        <f>25*2+25*16/30</f>
        <v>63.333333333333336</v>
      </c>
      <c r="J26" s="5"/>
      <c r="K26" s="5"/>
      <c r="L26" s="6">
        <v>75</v>
      </c>
      <c r="M26" s="61">
        <v>25</v>
      </c>
      <c r="N26" s="6">
        <f t="shared" si="0"/>
        <v>35</v>
      </c>
    </row>
    <row r="27" spans="1:15">
      <c r="A27" s="22" t="s">
        <v>54</v>
      </c>
      <c r="B27" s="22"/>
      <c r="C27" s="4">
        <v>43167</v>
      </c>
      <c r="D27" s="4"/>
      <c r="E27" s="4">
        <v>43455</v>
      </c>
      <c r="F27" s="5"/>
      <c r="G27" s="49"/>
      <c r="H27" s="5">
        <v>10.86</v>
      </c>
      <c r="I27" s="102">
        <f>9*25+25*13/30</f>
        <v>235.83333333333334</v>
      </c>
      <c r="J27" s="5"/>
      <c r="K27" s="5"/>
      <c r="L27" s="6">
        <v>90</v>
      </c>
      <c r="M27" s="61">
        <v>36</v>
      </c>
      <c r="N27" s="6">
        <f t="shared" si="0"/>
        <v>37.799999999999997</v>
      </c>
    </row>
    <row r="28" spans="1:15">
      <c r="A28" s="22" t="s">
        <v>57</v>
      </c>
      <c r="B28" s="55"/>
      <c r="C28" s="31">
        <v>43478</v>
      </c>
      <c r="D28" s="31"/>
      <c r="E28" s="4">
        <v>43536</v>
      </c>
      <c r="F28" s="5"/>
      <c r="G28" s="49"/>
      <c r="H28" s="5">
        <v>10.86</v>
      </c>
      <c r="I28" s="102">
        <v>25</v>
      </c>
      <c r="J28" s="5"/>
      <c r="K28" s="5"/>
      <c r="L28" s="6">
        <v>70</v>
      </c>
      <c r="M28" s="61">
        <v>25</v>
      </c>
      <c r="N28" s="6">
        <f t="shared" si="0"/>
        <v>31.499999999999996</v>
      </c>
    </row>
    <row r="29" spans="1:15">
      <c r="A29" s="22" t="s">
        <v>59</v>
      </c>
      <c r="B29" s="22"/>
      <c r="C29" s="4">
        <v>43528</v>
      </c>
      <c r="D29" s="4"/>
      <c r="E29" s="4">
        <v>43538</v>
      </c>
      <c r="F29" s="5"/>
      <c r="G29" s="49"/>
      <c r="H29" s="5">
        <v>14.92</v>
      </c>
      <c r="I29" s="102">
        <f>77/30*10</f>
        <v>25.666666666666668</v>
      </c>
      <c r="J29" s="5"/>
      <c r="K29" s="5"/>
      <c r="L29" s="6">
        <v>169</v>
      </c>
      <c r="M29" s="61">
        <f>64+11+2</f>
        <v>77</v>
      </c>
      <c r="N29" s="6">
        <f t="shared" si="0"/>
        <v>64.399999999999991</v>
      </c>
    </row>
    <row r="30" spans="1:15">
      <c r="A30" s="22" t="s">
        <v>58</v>
      </c>
      <c r="B30" s="22"/>
      <c r="C30" s="4">
        <v>43534</v>
      </c>
      <c r="D30" s="4"/>
      <c r="E30" s="4">
        <v>43542</v>
      </c>
      <c r="F30" s="5"/>
      <c r="G30" s="49"/>
      <c r="H30" s="5">
        <f>10.86*2</f>
        <v>21.72</v>
      </c>
      <c r="I30" s="102">
        <v>0</v>
      </c>
      <c r="J30" s="5"/>
      <c r="K30" s="5"/>
      <c r="L30" s="6">
        <v>30</v>
      </c>
      <c r="M30" s="61">
        <v>22</v>
      </c>
      <c r="N30" s="6">
        <v>18.899999999999999</v>
      </c>
    </row>
    <row r="31" spans="1:15">
      <c r="A31" s="22" t="s">
        <v>61</v>
      </c>
      <c r="B31" s="22"/>
      <c r="C31" s="4">
        <v>43482</v>
      </c>
      <c r="D31" s="4"/>
      <c r="E31" s="4">
        <v>43542</v>
      </c>
      <c r="F31" s="5"/>
      <c r="G31" s="49"/>
      <c r="H31" s="5">
        <v>11.1</v>
      </c>
      <c r="I31" s="102">
        <f>25*2</f>
        <v>50</v>
      </c>
      <c r="J31" s="5"/>
      <c r="K31" s="5"/>
      <c r="L31" s="6">
        <v>70</v>
      </c>
      <c r="M31" s="61">
        <v>26</v>
      </c>
      <c r="N31" s="6">
        <f t="shared" si="0"/>
        <v>30.799999999999997</v>
      </c>
    </row>
    <row r="32" spans="1:15">
      <c r="A32" s="22" t="s">
        <v>67</v>
      </c>
      <c r="B32" s="22"/>
      <c r="C32" s="4">
        <v>43600</v>
      </c>
      <c r="D32" s="4"/>
      <c r="E32" s="4">
        <v>43629</v>
      </c>
      <c r="F32" s="5"/>
      <c r="G32" s="49"/>
      <c r="H32" s="5">
        <f>10.86*2</f>
        <v>21.72</v>
      </c>
      <c r="I32" s="102">
        <f>22/30*58</f>
        <v>42.533333333333331</v>
      </c>
      <c r="J32" s="5">
        <v>50</v>
      </c>
      <c r="K32" s="5">
        <f>H32+I32+J32</f>
        <v>114.25333333333333</v>
      </c>
      <c r="L32" s="6">
        <v>60</v>
      </c>
      <c r="M32" s="61">
        <v>25</v>
      </c>
      <c r="N32" s="6">
        <v>0</v>
      </c>
    </row>
    <row r="33" spans="1:16">
      <c r="A33" s="22" t="s">
        <v>66</v>
      </c>
      <c r="B33" s="22"/>
      <c r="C33" s="4">
        <v>43600</v>
      </c>
      <c r="D33" s="4"/>
      <c r="E33" s="4">
        <v>43629</v>
      </c>
      <c r="F33" s="5"/>
      <c r="G33" s="49"/>
      <c r="H33" s="5">
        <f>10.86</f>
        <v>10.86</v>
      </c>
      <c r="I33" s="102">
        <f>39/30*58</f>
        <v>75.400000000000006</v>
      </c>
      <c r="J33" s="5"/>
      <c r="K33" s="5">
        <f>H33+I33</f>
        <v>86.26</v>
      </c>
      <c r="L33" s="6">
        <v>110</v>
      </c>
      <c r="M33" s="61">
        <f>25+11+3</f>
        <v>39</v>
      </c>
      <c r="N33" s="6">
        <v>0</v>
      </c>
      <c r="O33" t="s">
        <v>73</v>
      </c>
    </row>
    <row r="34" spans="1:16">
      <c r="A34" s="22" t="s">
        <v>64</v>
      </c>
      <c r="B34" s="22"/>
      <c r="C34" s="4">
        <v>43627</v>
      </c>
      <c r="D34" s="4"/>
      <c r="E34" s="4">
        <v>43629</v>
      </c>
      <c r="F34" s="5"/>
      <c r="G34" s="49"/>
      <c r="H34" s="5">
        <v>10.86</v>
      </c>
      <c r="I34" s="102">
        <f>25/30*2</f>
        <v>1.6666666666666667</v>
      </c>
      <c r="J34" s="5"/>
      <c r="K34" s="5">
        <f>H34+I34</f>
        <v>12.526666666666666</v>
      </c>
      <c r="L34" s="6">
        <v>200</v>
      </c>
      <c r="M34" s="61">
        <v>11</v>
      </c>
      <c r="N34" s="5">
        <f t="shared" ref="N34:N45" si="1">(L34-M34)*0.7</f>
        <v>132.29999999999998</v>
      </c>
    </row>
    <row r="35" spans="1:16">
      <c r="A35" s="22" t="s">
        <v>65</v>
      </c>
      <c r="B35" s="22"/>
      <c r="C35" s="4">
        <v>43622</v>
      </c>
      <c r="D35" s="4"/>
      <c r="E35" s="4">
        <v>43650</v>
      </c>
      <c r="F35" s="5"/>
      <c r="G35" s="49"/>
      <c r="H35" s="5">
        <v>10.86</v>
      </c>
      <c r="I35" s="102"/>
      <c r="J35" s="5"/>
      <c r="K35" s="5"/>
      <c r="L35" s="6">
        <v>120</v>
      </c>
      <c r="M35" s="61">
        <v>60</v>
      </c>
      <c r="N35" s="6">
        <f t="shared" si="1"/>
        <v>42</v>
      </c>
    </row>
    <row r="36" spans="1:16">
      <c r="A36" s="22" t="s">
        <v>71</v>
      </c>
      <c r="B36" s="22"/>
      <c r="C36" s="4">
        <v>43635</v>
      </c>
      <c r="D36" s="4"/>
      <c r="E36" s="4">
        <v>43662</v>
      </c>
      <c r="F36" s="5"/>
      <c r="G36" s="49"/>
      <c r="H36" s="5">
        <f>10.86*2</f>
        <v>21.72</v>
      </c>
      <c r="I36" s="102"/>
      <c r="J36" s="5"/>
      <c r="K36" s="5"/>
      <c r="L36" s="6">
        <v>70</v>
      </c>
      <c r="M36" s="61">
        <v>26</v>
      </c>
      <c r="N36" s="6">
        <f t="shared" si="1"/>
        <v>30.799999999999997</v>
      </c>
      <c r="O36" t="s">
        <v>72</v>
      </c>
    </row>
    <row r="37" spans="1:16">
      <c r="A37" s="2" t="s">
        <v>75</v>
      </c>
      <c r="B37" s="2"/>
      <c r="C37" s="4">
        <v>43656</v>
      </c>
      <c r="D37" s="4"/>
      <c r="E37" s="4">
        <v>43711</v>
      </c>
      <c r="F37" s="5"/>
      <c r="G37" s="49"/>
      <c r="H37" s="5">
        <v>10.86</v>
      </c>
      <c r="I37" s="102">
        <f>36/30*48</f>
        <v>57.599999999999994</v>
      </c>
      <c r="J37" s="5"/>
      <c r="K37" s="5"/>
      <c r="L37" s="6">
        <v>145</v>
      </c>
      <c r="M37" s="61">
        <f>36+18</f>
        <v>54</v>
      </c>
      <c r="N37" s="6">
        <f t="shared" si="1"/>
        <v>63.699999999999996</v>
      </c>
    </row>
    <row r="38" spans="1:16">
      <c r="A38" s="2" t="s">
        <v>76</v>
      </c>
      <c r="B38" s="2"/>
      <c r="C38" s="4">
        <v>43677</v>
      </c>
      <c r="D38" s="4"/>
      <c r="E38" s="4">
        <v>43713</v>
      </c>
      <c r="F38" s="5"/>
      <c r="G38" s="49"/>
      <c r="H38" s="5">
        <v>24.06</v>
      </c>
      <c r="I38" s="102">
        <f>80/30*35</f>
        <v>93.333333333333329</v>
      </c>
      <c r="J38" s="5">
        <v>40</v>
      </c>
      <c r="K38" s="5"/>
      <c r="L38" s="6">
        <v>149</v>
      </c>
      <c r="M38" s="61">
        <v>80</v>
      </c>
      <c r="N38" s="6">
        <f t="shared" si="1"/>
        <v>48.3</v>
      </c>
      <c r="O38" t="s">
        <v>79</v>
      </c>
    </row>
    <row r="39" spans="1:16">
      <c r="A39" s="10" t="s">
        <v>81</v>
      </c>
      <c r="B39" s="10"/>
      <c r="C39" s="11">
        <v>45444</v>
      </c>
      <c r="D39" s="11"/>
      <c r="E39" s="11">
        <v>45408</v>
      </c>
      <c r="F39" s="12"/>
      <c r="G39" s="12"/>
      <c r="H39" s="12"/>
      <c r="I39" s="106">
        <f>43/30*34</f>
        <v>48.733333333333334</v>
      </c>
      <c r="J39" s="12"/>
      <c r="K39" s="12"/>
      <c r="L39" s="12">
        <v>129</v>
      </c>
      <c r="M39" s="107">
        <v>61</v>
      </c>
      <c r="N39" s="12">
        <f t="shared" si="1"/>
        <v>47.599999999999994</v>
      </c>
    </row>
    <row r="40" spans="1:16">
      <c r="A40" s="22" t="s">
        <v>87</v>
      </c>
      <c r="B40" s="22"/>
      <c r="C40" s="35">
        <v>43878</v>
      </c>
      <c r="D40" s="35"/>
      <c r="E40" s="35">
        <v>43892</v>
      </c>
      <c r="F40" s="5"/>
      <c r="G40" s="49"/>
      <c r="H40" s="5">
        <v>12.19</v>
      </c>
      <c r="I40" s="102">
        <v>5.5</v>
      </c>
      <c r="J40" s="5"/>
      <c r="K40" s="5"/>
      <c r="L40" s="6">
        <v>25</v>
      </c>
      <c r="M40" s="61">
        <v>11</v>
      </c>
      <c r="N40" s="6">
        <f t="shared" si="1"/>
        <v>9.7999999999999989</v>
      </c>
    </row>
    <row r="41" spans="1:16">
      <c r="A41" s="22" t="s">
        <v>89</v>
      </c>
      <c r="B41" s="22"/>
      <c r="C41" s="35">
        <v>43908</v>
      </c>
      <c r="D41" s="35"/>
      <c r="E41" s="35">
        <v>43893</v>
      </c>
      <c r="F41" s="5"/>
      <c r="G41" s="49"/>
      <c r="H41" s="5">
        <v>9.6</v>
      </c>
      <c r="I41" s="102"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22" t="s">
        <v>85</v>
      </c>
      <c r="B42" s="22"/>
      <c r="C42" s="35">
        <v>43881</v>
      </c>
      <c r="D42" s="35"/>
      <c r="E42" s="35">
        <v>43895</v>
      </c>
      <c r="F42" s="5"/>
      <c r="G42" s="49"/>
      <c r="H42" s="5">
        <v>9.14</v>
      </c>
      <c r="I42" s="102">
        <f>11/30*15</f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6">
      <c r="A43" s="39" t="s">
        <v>82</v>
      </c>
      <c r="B43" s="28"/>
      <c r="C43" s="36">
        <v>40235</v>
      </c>
      <c r="D43" s="36"/>
      <c r="E43" s="36">
        <v>43901</v>
      </c>
      <c r="F43" s="5"/>
      <c r="G43" s="34"/>
      <c r="H43" s="37">
        <v>9.6</v>
      </c>
      <c r="I43" s="102">
        <f>11/2</f>
        <v>5.5</v>
      </c>
      <c r="J43" s="5"/>
      <c r="K43" s="5"/>
      <c r="L43" s="17">
        <v>25</v>
      </c>
      <c r="M43" s="63">
        <v>11</v>
      </c>
      <c r="N43" s="26">
        <f t="shared" si="1"/>
        <v>9.7999999999999989</v>
      </c>
    </row>
    <row r="44" spans="1:16">
      <c r="A44" s="22" t="s">
        <v>80</v>
      </c>
      <c r="B44" s="22"/>
      <c r="C44" s="35">
        <v>43873</v>
      </c>
      <c r="D44" s="35"/>
      <c r="E44" s="35">
        <v>43910</v>
      </c>
      <c r="F44" s="5"/>
      <c r="G44" s="49"/>
      <c r="H44" s="5">
        <v>21.84</v>
      </c>
      <c r="I44" s="102">
        <f>56/30*38</f>
        <v>70.933333333333337</v>
      </c>
      <c r="J44" s="5"/>
      <c r="K44" s="5"/>
      <c r="L44" s="6">
        <v>120</v>
      </c>
      <c r="M44" s="61">
        <v>56</v>
      </c>
      <c r="N44" s="6">
        <f t="shared" si="1"/>
        <v>44.8</v>
      </c>
    </row>
    <row r="45" spans="1:16">
      <c r="A45" s="22" t="s">
        <v>88</v>
      </c>
      <c r="B45" s="22"/>
      <c r="C45" s="35">
        <v>43855</v>
      </c>
      <c r="D45" s="35"/>
      <c r="E45" s="35">
        <v>43941</v>
      </c>
      <c r="F45" s="5"/>
      <c r="G45" s="49"/>
      <c r="H45" s="5">
        <v>13.93</v>
      </c>
      <c r="I45" s="102">
        <f>56/30*85</f>
        <v>158.66666666666666</v>
      </c>
      <c r="J45" s="5"/>
      <c r="K45" s="5"/>
      <c r="L45" s="6">
        <v>110</v>
      </c>
      <c r="M45" s="61">
        <v>56</v>
      </c>
      <c r="N45" s="6">
        <f t="shared" si="1"/>
        <v>37.799999999999997</v>
      </c>
    </row>
    <row r="46" spans="1:16">
      <c r="A46" s="22" t="s">
        <v>90</v>
      </c>
      <c r="B46" s="22"/>
      <c r="C46" s="35" t="s">
        <v>96</v>
      </c>
      <c r="D46" s="35"/>
      <c r="E46" s="35">
        <v>44015</v>
      </c>
      <c r="F46" s="5" t="s">
        <v>160</v>
      </c>
      <c r="G46" s="49">
        <v>12.5</v>
      </c>
      <c r="H46" s="5">
        <v>11.29</v>
      </c>
      <c r="I46" s="102">
        <f>100</f>
        <v>100</v>
      </c>
      <c r="J46" s="5"/>
      <c r="K46" s="5"/>
      <c r="L46" s="6">
        <v>105</v>
      </c>
      <c r="M46" s="61">
        <f>25+11+22</f>
        <v>58</v>
      </c>
      <c r="N46" s="6">
        <f>12.5+(92.5-M46)*0.7</f>
        <v>36.65</v>
      </c>
      <c r="P46" s="41"/>
    </row>
    <row r="47" spans="1:16">
      <c r="A47" s="22" t="s">
        <v>97</v>
      </c>
      <c r="B47" s="22"/>
      <c r="C47" s="35">
        <v>43990</v>
      </c>
      <c r="D47" s="35"/>
      <c r="E47" s="35">
        <v>44036</v>
      </c>
      <c r="F47" s="5"/>
      <c r="G47" s="49"/>
      <c r="H47" s="5">
        <v>8.75</v>
      </c>
      <c r="I47" s="102">
        <f>56/30*46</f>
        <v>85.866666666666674</v>
      </c>
      <c r="J47" s="5"/>
      <c r="K47" s="5"/>
      <c r="L47" s="6">
        <v>110</v>
      </c>
      <c r="M47" s="61">
        <f>45+11</f>
        <v>56</v>
      </c>
      <c r="N47" s="6">
        <f>(L47-M47)*0.7</f>
        <v>37.799999999999997</v>
      </c>
    </row>
    <row r="48" spans="1:16">
      <c r="A48" s="22" t="s">
        <v>95</v>
      </c>
      <c r="B48" s="22"/>
      <c r="C48" s="35">
        <v>44028</v>
      </c>
      <c r="D48" s="35"/>
      <c r="E48" s="35">
        <v>44040</v>
      </c>
      <c r="F48" s="5"/>
      <c r="G48" s="49"/>
      <c r="H48" s="5">
        <v>8.75</v>
      </c>
      <c r="I48" s="102">
        <f>41/30*12</f>
        <v>16.399999999999999</v>
      </c>
      <c r="J48" s="5"/>
      <c r="K48" s="5"/>
      <c r="L48" s="6">
        <v>60</v>
      </c>
      <c r="M48" s="61">
        <v>41</v>
      </c>
      <c r="N48" s="6">
        <f>(L48-M48)*0.7</f>
        <v>13.299999999999999</v>
      </c>
    </row>
    <row r="49" spans="1:16">
      <c r="A49" s="22" t="s">
        <v>94</v>
      </c>
      <c r="B49" s="22"/>
      <c r="C49" s="35">
        <v>44011</v>
      </c>
      <c r="D49" s="35"/>
      <c r="E49" s="35">
        <v>44084</v>
      </c>
      <c r="F49" s="5"/>
      <c r="G49" s="49"/>
      <c r="H49" s="5">
        <v>11.29</v>
      </c>
      <c r="I49" s="102">
        <f>25/30*71</f>
        <v>59.166666666666671</v>
      </c>
      <c r="J49" s="5"/>
      <c r="K49" s="5"/>
      <c r="L49" s="6">
        <v>40</v>
      </c>
      <c r="M49" s="61">
        <v>25</v>
      </c>
      <c r="N49" s="6">
        <f>(L49-M49)*0.7</f>
        <v>10.5</v>
      </c>
    </row>
    <row r="50" spans="1:16">
      <c r="A50" s="2" t="s">
        <v>99</v>
      </c>
      <c r="B50" s="2"/>
      <c r="C50" s="35">
        <v>44084</v>
      </c>
      <c r="D50" s="35"/>
      <c r="E50" s="35">
        <v>44105</v>
      </c>
      <c r="F50" s="5" t="s">
        <v>160</v>
      </c>
      <c r="G50" s="49">
        <v>5</v>
      </c>
      <c r="H50" s="5">
        <v>12.24</v>
      </c>
      <c r="I50" s="102">
        <f>25/30*20</f>
        <v>16.666666666666668</v>
      </c>
      <c r="J50" s="5"/>
      <c r="K50" s="5"/>
      <c r="L50" s="43">
        <v>40</v>
      </c>
      <c r="M50" s="61">
        <v>22</v>
      </c>
      <c r="N50" s="6">
        <f>5+13*0.7</f>
        <v>14.1</v>
      </c>
      <c r="P50" s="41"/>
    </row>
    <row r="51" spans="1:16">
      <c r="A51" s="2" t="s">
        <v>102</v>
      </c>
      <c r="B51" s="2"/>
      <c r="C51" s="4" t="s">
        <v>103</v>
      </c>
      <c r="D51" s="4"/>
      <c r="E51" s="4">
        <v>44110</v>
      </c>
      <c r="F51" s="5" t="s">
        <v>160</v>
      </c>
      <c r="G51" s="49">
        <v>10</v>
      </c>
      <c r="H51" s="5">
        <v>36.65</v>
      </c>
      <c r="I51" s="102">
        <f>115/30*26</f>
        <v>99.666666666666671</v>
      </c>
      <c r="J51" s="5"/>
      <c r="K51" s="5"/>
      <c r="L51" s="6">
        <v>180</v>
      </c>
      <c r="M51" s="61">
        <v>115</v>
      </c>
      <c r="N51" s="6">
        <f>10+55*0.7</f>
        <v>48.5</v>
      </c>
      <c r="P51" s="41"/>
    </row>
    <row r="52" spans="1:16">
      <c r="A52" s="2" t="s">
        <v>94</v>
      </c>
      <c r="B52" s="2"/>
      <c r="C52" s="35">
        <v>44124</v>
      </c>
      <c r="D52" s="35"/>
      <c r="E52" s="35">
        <v>44124</v>
      </c>
      <c r="F52" s="5"/>
      <c r="G52" s="49"/>
      <c r="H52" s="5">
        <v>7.25</v>
      </c>
      <c r="I52" s="102">
        <v>0</v>
      </c>
      <c r="J52" s="5"/>
      <c r="K52" s="5"/>
      <c r="L52" s="6">
        <v>25</v>
      </c>
      <c r="M52" s="61">
        <v>11</v>
      </c>
      <c r="N52" s="6">
        <f>(L52-M52)*0.7</f>
        <v>9.7999999999999989</v>
      </c>
    </row>
    <row r="53" spans="1:16">
      <c r="A53" s="2" t="s">
        <v>100</v>
      </c>
      <c r="B53" s="2"/>
      <c r="C53" s="4">
        <v>44018</v>
      </c>
      <c r="D53" s="4"/>
      <c r="E53" s="4">
        <v>44124</v>
      </c>
      <c r="F53" s="40"/>
      <c r="G53" s="2"/>
      <c r="H53" s="5">
        <v>9.5</v>
      </c>
      <c r="I53" s="102">
        <f>25/30*104</f>
        <v>86.666666666666671</v>
      </c>
      <c r="J53" s="5"/>
      <c r="K53" s="5"/>
      <c r="L53" s="6">
        <v>70</v>
      </c>
      <c r="M53" s="61">
        <v>25</v>
      </c>
      <c r="N53" s="6">
        <f>(L53-M53)*0.7</f>
        <v>31.499999999999996</v>
      </c>
    </row>
    <row r="54" spans="1:16">
      <c r="A54" s="2" t="s">
        <v>101</v>
      </c>
      <c r="B54" s="2"/>
      <c r="C54" s="4">
        <v>44070</v>
      </c>
      <c r="D54" s="4"/>
      <c r="E54" s="4">
        <v>44131</v>
      </c>
      <c r="F54" s="40"/>
      <c r="G54" s="2"/>
      <c r="H54" s="5">
        <v>13.93</v>
      </c>
      <c r="I54" s="102">
        <f>71/30*60</f>
        <v>142</v>
      </c>
      <c r="J54" s="5"/>
      <c r="K54" s="5"/>
      <c r="L54" s="6">
        <v>120</v>
      </c>
      <c r="M54" s="61">
        <f>60+11</f>
        <v>71</v>
      </c>
      <c r="N54" s="6">
        <f>(L54-M54)*0.7</f>
        <v>34.299999999999997</v>
      </c>
    </row>
    <row r="55" spans="1:16">
      <c r="A55" s="22" t="s">
        <v>104</v>
      </c>
      <c r="B55" s="22"/>
      <c r="C55" s="4">
        <v>44159</v>
      </c>
      <c r="D55" s="4"/>
      <c r="E55" s="4">
        <v>44187</v>
      </c>
      <c r="F55" s="40"/>
      <c r="G55" s="2"/>
      <c r="H55" s="5">
        <v>13.93</v>
      </c>
      <c r="I55" s="102">
        <f>36/30*28</f>
        <v>33.6</v>
      </c>
      <c r="J55" s="5"/>
      <c r="K55" s="5"/>
      <c r="L55" s="6">
        <v>110</v>
      </c>
      <c r="M55" s="61">
        <f>25+11</f>
        <v>36</v>
      </c>
      <c r="N55" s="6">
        <f>(L55-M55)*0.7</f>
        <v>51.8</v>
      </c>
    </row>
    <row r="56" spans="1:16">
      <c r="A56" s="22" t="s">
        <v>120</v>
      </c>
      <c r="B56" s="22"/>
      <c r="C56" s="4">
        <v>44169</v>
      </c>
      <c r="D56" s="4"/>
      <c r="E56" s="4">
        <v>44208</v>
      </c>
      <c r="F56" s="5" t="s">
        <v>160</v>
      </c>
      <c r="G56" s="49">
        <v>10</v>
      </c>
      <c r="H56" s="5"/>
      <c r="I56" s="102">
        <f>41/30*38</f>
        <v>51.933333333333337</v>
      </c>
      <c r="J56" s="5"/>
      <c r="K56" s="5"/>
      <c r="L56" s="6">
        <v>70</v>
      </c>
      <c r="M56" s="61">
        <v>45</v>
      </c>
      <c r="N56" s="5">
        <f>10+(60-45)*0.7</f>
        <v>20.5</v>
      </c>
      <c r="O56" s="1" t="s">
        <v>145</v>
      </c>
    </row>
    <row r="57" spans="1:16">
      <c r="A57" s="22" t="s">
        <v>108</v>
      </c>
      <c r="B57" s="22"/>
      <c r="C57" s="4">
        <v>44185</v>
      </c>
      <c r="D57" s="4"/>
      <c r="E57" s="4">
        <v>44242</v>
      </c>
      <c r="F57" s="5" t="s">
        <v>160</v>
      </c>
      <c r="G57" s="49">
        <v>20</v>
      </c>
      <c r="H57" s="5">
        <v>26.48</v>
      </c>
      <c r="I57" s="102">
        <f>50/30*55</f>
        <v>91.666666666666671</v>
      </c>
      <c r="J57" s="5">
        <v>160</v>
      </c>
      <c r="K57" s="5"/>
      <c r="L57" s="6">
        <v>130</v>
      </c>
      <c r="M57" s="61">
        <v>34</v>
      </c>
      <c r="N57" s="5">
        <f>(20+(110-34)*0.7)</f>
        <v>73.199999999999989</v>
      </c>
      <c r="O57" s="1" t="s">
        <v>145</v>
      </c>
    </row>
    <row r="58" spans="1:16">
      <c r="A58" s="22" t="s">
        <v>109</v>
      </c>
      <c r="B58" s="22"/>
      <c r="C58" s="4">
        <v>44209</v>
      </c>
      <c r="D58" s="4"/>
      <c r="E58" s="4">
        <v>44250</v>
      </c>
      <c r="F58" s="5" t="s">
        <v>160</v>
      </c>
      <c r="G58" s="49">
        <v>22.5</v>
      </c>
      <c r="H58" s="5">
        <v>22.83</v>
      </c>
      <c r="I58" s="102">
        <f>100/30*40</f>
        <v>133.33333333333334</v>
      </c>
      <c r="J58" s="5">
        <v>125</v>
      </c>
      <c r="K58" s="5"/>
      <c r="L58" s="6">
        <v>210</v>
      </c>
      <c r="M58" s="61">
        <v>100</v>
      </c>
      <c r="N58" s="6">
        <f>(22.5+87.5*0.7)</f>
        <v>83.75</v>
      </c>
    </row>
    <row r="59" spans="1:16">
      <c r="A59" s="2" t="s">
        <v>113</v>
      </c>
      <c r="B59" s="2"/>
      <c r="C59" s="4">
        <v>44245</v>
      </c>
      <c r="D59" s="4"/>
      <c r="E59" s="4">
        <v>44271</v>
      </c>
      <c r="F59" s="5" t="s">
        <v>160</v>
      </c>
      <c r="G59" s="49">
        <v>15</v>
      </c>
      <c r="H59" s="5">
        <v>26.76</v>
      </c>
      <c r="I59" s="102">
        <f>67/30*28</f>
        <v>62.533333333333331</v>
      </c>
      <c r="J59" s="5"/>
      <c r="K59" s="5"/>
      <c r="L59" s="6">
        <v>140</v>
      </c>
      <c r="M59" s="61">
        <v>67</v>
      </c>
      <c r="N59" s="6">
        <f>(15+0.7*58)</f>
        <v>55.599999999999994</v>
      </c>
    </row>
    <row r="60" spans="1:16">
      <c r="A60" s="2" t="s">
        <v>112</v>
      </c>
      <c r="B60" s="2"/>
      <c r="C60" s="4">
        <v>44270</v>
      </c>
      <c r="D60" s="4"/>
      <c r="E60" s="4">
        <v>44286</v>
      </c>
      <c r="F60" s="5" t="s">
        <v>160</v>
      </c>
      <c r="G60" s="49">
        <v>17.5</v>
      </c>
      <c r="H60" s="5">
        <v>31.96</v>
      </c>
      <c r="I60" s="102">
        <f>55/30*16</f>
        <v>29.333333333333332</v>
      </c>
      <c r="J60" s="5">
        <v>75</v>
      </c>
      <c r="K60" s="5"/>
      <c r="L60" s="6">
        <v>100</v>
      </c>
      <c r="M60" s="61">
        <v>55</v>
      </c>
      <c r="N60" s="6">
        <f>(17.5+27.5*0.7)</f>
        <v>36.75</v>
      </c>
    </row>
    <row r="61" spans="1:16">
      <c r="A61" s="22" t="s">
        <v>121</v>
      </c>
      <c r="B61" s="22"/>
      <c r="C61" s="4">
        <v>44316</v>
      </c>
      <c r="D61" s="4"/>
      <c r="E61" s="4">
        <v>44354</v>
      </c>
      <c r="F61" s="40"/>
      <c r="G61" s="2"/>
      <c r="H61" s="5">
        <v>15.15</v>
      </c>
      <c r="I61" s="102">
        <f>36/30*37</f>
        <v>44.4</v>
      </c>
      <c r="J61" s="5"/>
      <c r="K61" s="5"/>
      <c r="L61" s="6">
        <v>110</v>
      </c>
      <c r="M61" s="61">
        <v>36</v>
      </c>
      <c r="N61" s="5">
        <f>(L61-M61)*0.7</f>
        <v>51.8</v>
      </c>
      <c r="O61" s="1" t="s">
        <v>145</v>
      </c>
    </row>
    <row r="62" spans="1:16">
      <c r="A62" s="22" t="s">
        <v>126</v>
      </c>
      <c r="B62" s="22"/>
      <c r="C62" s="4">
        <v>44336</v>
      </c>
      <c r="D62" s="4"/>
      <c r="E62" s="4">
        <v>44370</v>
      </c>
      <c r="F62" s="5" t="s">
        <v>161</v>
      </c>
      <c r="G62" s="49">
        <v>17.5</v>
      </c>
      <c r="H62" s="5">
        <v>35.78</v>
      </c>
      <c r="I62" s="102">
        <f>58/30*33</f>
        <v>63.8</v>
      </c>
      <c r="J62" s="5">
        <v>50</v>
      </c>
      <c r="K62" s="5"/>
      <c r="L62" s="6">
        <v>150</v>
      </c>
      <c r="M62" s="61">
        <v>58</v>
      </c>
      <c r="N62" s="6">
        <f>(17.5+74.5*0.7)</f>
        <v>69.650000000000006</v>
      </c>
    </row>
    <row r="63" spans="1:16">
      <c r="A63" s="44" t="s">
        <v>125</v>
      </c>
      <c r="B63" s="44"/>
      <c r="C63" s="4">
        <v>44342</v>
      </c>
      <c r="D63" s="4"/>
      <c r="E63" s="4">
        <v>44386</v>
      </c>
      <c r="F63" s="5" t="s">
        <v>160</v>
      </c>
      <c r="G63" s="49">
        <v>12.5</v>
      </c>
      <c r="H63" s="5">
        <v>15.46</v>
      </c>
      <c r="I63" s="102">
        <f>36/30*43</f>
        <v>51.6</v>
      </c>
      <c r="J63" s="5">
        <f>50+45</f>
        <v>95</v>
      </c>
      <c r="K63" s="5"/>
      <c r="L63" s="6">
        <v>80</v>
      </c>
      <c r="M63" s="61">
        <v>33</v>
      </c>
      <c r="N63" s="6">
        <f>12.5+(L63-M63-12.5)*0.7</f>
        <v>36.65</v>
      </c>
    </row>
    <row r="64" spans="1:16">
      <c r="A64" s="44" t="s">
        <v>129</v>
      </c>
      <c r="B64" s="44"/>
      <c r="C64" s="4">
        <v>44348</v>
      </c>
      <c r="D64" s="4"/>
      <c r="E64" s="4">
        <v>44389</v>
      </c>
      <c r="F64" s="5" t="s">
        <v>160</v>
      </c>
      <c r="G64" s="49">
        <v>12.5</v>
      </c>
      <c r="H64" s="5">
        <v>26.22</v>
      </c>
      <c r="I64" s="102">
        <f>71/30*42</f>
        <v>99.4</v>
      </c>
      <c r="J64" s="5">
        <f>50+45</f>
        <v>95</v>
      </c>
      <c r="K64" s="5"/>
      <c r="L64" s="6">
        <v>140</v>
      </c>
      <c r="M64" s="61">
        <v>71</v>
      </c>
      <c r="N64" s="6">
        <f>(12.5+(127.5-71)*0.7)</f>
        <v>52.05</v>
      </c>
    </row>
    <row r="65" spans="1:16">
      <c r="A65" s="44" t="s">
        <v>132</v>
      </c>
      <c r="B65" s="44"/>
      <c r="C65" s="4">
        <v>44407</v>
      </c>
      <c r="D65" s="4"/>
      <c r="E65" s="4">
        <v>44461</v>
      </c>
      <c r="F65" s="40"/>
      <c r="G65" s="2"/>
      <c r="H65" s="5">
        <v>9.8800000000000008</v>
      </c>
      <c r="I65" s="102">
        <f>25/30*52</f>
        <v>43.333333333333336</v>
      </c>
      <c r="J65" s="5"/>
      <c r="K65" s="5"/>
      <c r="L65" s="6">
        <v>40</v>
      </c>
      <c r="M65" s="61">
        <v>25</v>
      </c>
      <c r="N65" s="6">
        <f>(L65-M65)*0.7</f>
        <v>10.5</v>
      </c>
    </row>
    <row r="66" spans="1:16">
      <c r="A66" s="52" t="s">
        <v>141</v>
      </c>
      <c r="B66" s="52"/>
      <c r="C66" s="57">
        <v>44459</v>
      </c>
      <c r="D66" s="57"/>
      <c r="E66" s="57">
        <v>44481</v>
      </c>
      <c r="F66" s="10" t="s">
        <v>161</v>
      </c>
      <c r="G66" s="12">
        <v>10</v>
      </c>
      <c r="H66" s="25">
        <v>15.15</v>
      </c>
      <c r="I66" s="103">
        <f>46/30*22</f>
        <v>33.733333333333334</v>
      </c>
      <c r="J66" s="25">
        <v>80</v>
      </c>
      <c r="K66" s="25"/>
      <c r="L66" s="27">
        <v>120</v>
      </c>
      <c r="M66" s="64">
        <v>46</v>
      </c>
      <c r="N66" s="27">
        <f>10+(120-56)*0.7</f>
        <v>54.8</v>
      </c>
    </row>
    <row r="67" spans="1:16">
      <c r="A67" s="52" t="s">
        <v>140</v>
      </c>
      <c r="B67" s="52"/>
      <c r="C67" s="57">
        <v>44449</v>
      </c>
      <c r="D67" s="57"/>
      <c r="E67" s="57">
        <v>44482</v>
      </c>
      <c r="F67" s="25" t="s">
        <v>160</v>
      </c>
      <c r="G67" s="58">
        <v>10</v>
      </c>
      <c r="H67" s="25">
        <v>13.4</v>
      </c>
      <c r="I67" s="103">
        <f>60/30*33</f>
        <v>66</v>
      </c>
      <c r="J67" s="25">
        <v>80</v>
      </c>
      <c r="K67" s="25"/>
      <c r="L67" s="27">
        <v>120</v>
      </c>
      <c r="M67" s="64">
        <v>61</v>
      </c>
      <c r="N67" s="27">
        <f>(10+49*0.7)</f>
        <v>44.3</v>
      </c>
    </row>
    <row r="68" spans="1:16">
      <c r="A68" s="44" t="s">
        <v>137</v>
      </c>
      <c r="B68" s="44"/>
      <c r="C68" s="35">
        <v>44474</v>
      </c>
      <c r="D68" s="35"/>
      <c r="E68" s="35">
        <v>44487</v>
      </c>
      <c r="F68" s="10" t="s">
        <v>161</v>
      </c>
      <c r="G68" s="12">
        <v>12.5</v>
      </c>
      <c r="H68" s="5">
        <v>15.15</v>
      </c>
      <c r="I68" s="102">
        <f>71/30*13</f>
        <v>30.766666666666666</v>
      </c>
      <c r="J68" s="5">
        <v>95</v>
      </c>
      <c r="K68" s="5"/>
      <c r="L68" s="6">
        <v>140</v>
      </c>
      <c r="M68" s="61">
        <v>71</v>
      </c>
      <c r="N68" s="6">
        <f>12.5+(56.5)*0.7</f>
        <v>52.05</v>
      </c>
    </row>
    <row r="69" spans="1:16">
      <c r="A69" s="44" t="s">
        <v>143</v>
      </c>
      <c r="B69" s="44"/>
      <c r="C69" s="35">
        <v>43717</v>
      </c>
      <c r="D69" s="35"/>
      <c r="E69" s="35">
        <v>44505</v>
      </c>
      <c r="F69" s="40"/>
      <c r="G69" s="49"/>
      <c r="H69" s="5">
        <v>13.4</v>
      </c>
      <c r="I69" s="102">
        <f>36*25+36/30*26</f>
        <v>931.2</v>
      </c>
      <c r="J69" s="5"/>
      <c r="K69" s="5"/>
      <c r="L69" s="6">
        <v>100</v>
      </c>
      <c r="M69" s="61">
        <v>36</v>
      </c>
      <c r="N69" s="6">
        <f>(100-36)*0.7</f>
        <v>44.8</v>
      </c>
    </row>
    <row r="70" spans="1:16">
      <c r="A70" s="44" t="s">
        <v>139</v>
      </c>
      <c r="B70" s="44"/>
      <c r="C70" s="35">
        <v>44492</v>
      </c>
      <c r="D70" s="35"/>
      <c r="E70" s="35">
        <v>44539</v>
      </c>
      <c r="F70" s="40"/>
      <c r="G70" s="49"/>
      <c r="H70" s="5">
        <v>16.350000000000001</v>
      </c>
      <c r="I70" s="102">
        <f>71/30*46</f>
        <v>108.86666666666667</v>
      </c>
      <c r="J70" s="5">
        <v>95</v>
      </c>
      <c r="K70" s="5"/>
      <c r="L70" s="6">
        <v>140</v>
      </c>
      <c r="M70" s="61">
        <v>71</v>
      </c>
      <c r="N70" s="12">
        <f>(140-71)*0.7</f>
        <v>48.3</v>
      </c>
      <c r="O70" s="72" t="s">
        <v>329</v>
      </c>
      <c r="P70" s="72">
        <v>33.81</v>
      </c>
    </row>
    <row r="71" spans="1:16">
      <c r="A71" s="44" t="s">
        <v>144</v>
      </c>
      <c r="B71" s="44"/>
      <c r="C71" s="35">
        <v>44526</v>
      </c>
      <c r="D71" s="35"/>
      <c r="E71" s="35">
        <v>44550</v>
      </c>
      <c r="F71" s="5" t="s">
        <v>160</v>
      </c>
      <c r="G71" s="49">
        <v>12.5</v>
      </c>
      <c r="H71" s="5">
        <v>13.4</v>
      </c>
      <c r="I71" s="102">
        <f>83/30*24</f>
        <v>66.400000000000006</v>
      </c>
      <c r="J71" s="5"/>
      <c r="K71" s="5"/>
      <c r="L71" s="6">
        <v>140</v>
      </c>
      <c r="M71" s="61">
        <v>94</v>
      </c>
      <c r="N71" s="6">
        <f>12.5+(140-12.5-94)*0.7</f>
        <v>35.950000000000003</v>
      </c>
    </row>
    <row r="72" spans="1:16">
      <c r="A72" s="44" t="s">
        <v>149</v>
      </c>
      <c r="B72" s="44"/>
      <c r="C72" s="35">
        <v>44880</v>
      </c>
      <c r="D72" s="35"/>
      <c r="E72" s="35">
        <v>44575</v>
      </c>
      <c r="F72" s="40"/>
      <c r="G72" s="49"/>
      <c r="H72" s="5">
        <v>13.4</v>
      </c>
      <c r="I72" s="102"/>
      <c r="J72" s="5">
        <v>50</v>
      </c>
      <c r="K72" s="5"/>
      <c r="L72" s="6">
        <v>160</v>
      </c>
      <c r="M72" s="61">
        <f>71+9</f>
        <v>80</v>
      </c>
      <c r="N72" s="6">
        <f>(160-80)*0.7</f>
        <v>56</v>
      </c>
    </row>
    <row r="73" spans="1:16">
      <c r="A73" s="44" t="s">
        <v>146</v>
      </c>
      <c r="B73" s="44"/>
      <c r="C73" s="4">
        <v>44586</v>
      </c>
      <c r="D73" s="4"/>
      <c r="E73" s="4">
        <v>44615</v>
      </c>
      <c r="F73" s="10" t="s">
        <v>161</v>
      </c>
      <c r="G73" s="12">
        <v>12.5</v>
      </c>
      <c r="H73" s="5">
        <v>15.46</v>
      </c>
      <c r="I73" s="102">
        <f>27/30*28</f>
        <v>25.2</v>
      </c>
      <c r="J73" s="5">
        <v>110</v>
      </c>
      <c r="K73" s="5"/>
      <c r="L73" s="6">
        <v>154</v>
      </c>
      <c r="M73" s="61">
        <v>72</v>
      </c>
      <c r="N73" s="6">
        <f>12.5+(154-12.5-62)*0.7</f>
        <v>68.150000000000006</v>
      </c>
    </row>
    <row r="74" spans="1:16">
      <c r="A74" s="44" t="s">
        <v>148</v>
      </c>
      <c r="B74" s="44"/>
      <c r="C74" s="4">
        <v>44579</v>
      </c>
      <c r="D74" s="4"/>
      <c r="E74" s="4">
        <v>44594</v>
      </c>
      <c r="F74" s="40"/>
      <c r="G74" s="49"/>
      <c r="H74" s="5">
        <v>13.4</v>
      </c>
      <c r="I74" s="102">
        <f>22/30*14</f>
        <v>10.266666666666666</v>
      </c>
      <c r="J74" s="5">
        <v>30</v>
      </c>
      <c r="K74" s="5"/>
      <c r="L74" s="6">
        <v>50</v>
      </c>
      <c r="M74" s="61">
        <v>22</v>
      </c>
      <c r="N74" s="6">
        <f>(50-22)*0.7</f>
        <v>19.599999999999998</v>
      </c>
    </row>
    <row r="75" spans="1:16">
      <c r="A75" s="44" t="s">
        <v>150</v>
      </c>
      <c r="B75" s="44"/>
      <c r="C75" s="4">
        <v>44899</v>
      </c>
      <c r="D75" s="4"/>
      <c r="E75" s="4">
        <v>44607</v>
      </c>
      <c r="F75" s="12" t="s">
        <v>160</v>
      </c>
      <c r="G75" s="12">
        <v>12.5</v>
      </c>
      <c r="H75" s="5">
        <v>13.4</v>
      </c>
      <c r="I75" s="102">
        <f>71/30*61</f>
        <v>144.36666666666667</v>
      </c>
      <c r="J75" s="5">
        <v>80</v>
      </c>
      <c r="K75" s="5"/>
      <c r="L75" s="6">
        <v>120</v>
      </c>
      <c r="M75" s="61">
        <v>60</v>
      </c>
      <c r="N75" s="6">
        <f>12.5+(120-72.5)*0.7</f>
        <v>45.75</v>
      </c>
    </row>
    <row r="76" spans="1:16">
      <c r="A76" s="44" t="s">
        <v>153</v>
      </c>
      <c r="B76" s="44"/>
      <c r="C76" s="4">
        <v>44623</v>
      </c>
      <c r="D76" s="4"/>
      <c r="E76" s="4">
        <v>44623</v>
      </c>
      <c r="F76" s="40"/>
      <c r="G76" s="40"/>
      <c r="H76" s="5">
        <v>11.03</v>
      </c>
      <c r="I76" s="102">
        <v>0</v>
      </c>
      <c r="J76" s="5">
        <v>15</v>
      </c>
      <c r="K76" s="5"/>
      <c r="L76" s="6">
        <v>30</v>
      </c>
      <c r="M76" s="61">
        <v>12</v>
      </c>
      <c r="N76" s="6">
        <f>(L76-M76)*0.7</f>
        <v>12.6</v>
      </c>
    </row>
    <row r="77" spans="1:16">
      <c r="A77" s="44" t="s">
        <v>157</v>
      </c>
      <c r="B77" s="44"/>
      <c r="C77" s="4">
        <v>44627</v>
      </c>
      <c r="D77" s="4"/>
      <c r="E77" s="4">
        <v>44627</v>
      </c>
      <c r="F77" s="10" t="s">
        <v>161</v>
      </c>
      <c r="G77" s="12">
        <v>10</v>
      </c>
      <c r="H77" s="5">
        <v>15.46</v>
      </c>
      <c r="I77" s="102">
        <v>0</v>
      </c>
      <c r="J77" s="5">
        <v>0</v>
      </c>
      <c r="K77" s="5"/>
      <c r="L77" s="6">
        <v>100</v>
      </c>
      <c r="M77" s="61">
        <v>44</v>
      </c>
      <c r="N77" s="6">
        <f>10+(46)*0.7</f>
        <v>42.199999999999996</v>
      </c>
    </row>
    <row r="78" spans="1:16">
      <c r="A78" s="44" t="s">
        <v>158</v>
      </c>
      <c r="B78" s="44"/>
      <c r="C78" s="4">
        <v>44627</v>
      </c>
      <c r="D78" s="4"/>
      <c r="E78" s="4">
        <v>44627</v>
      </c>
      <c r="F78" s="10" t="s">
        <v>161</v>
      </c>
      <c r="G78" s="12">
        <v>12.5</v>
      </c>
      <c r="H78" s="5">
        <v>15.46</v>
      </c>
      <c r="I78" s="102">
        <v>0</v>
      </c>
      <c r="J78" s="5">
        <v>0</v>
      </c>
      <c r="K78" s="5"/>
      <c r="L78" s="6">
        <v>125</v>
      </c>
      <c r="M78" s="61">
        <v>55</v>
      </c>
      <c r="N78" s="6">
        <f>12.5+(57.5)*0.7</f>
        <v>52.75</v>
      </c>
    </row>
    <row r="79" spans="1:16">
      <c r="A79" s="44" t="s">
        <v>171</v>
      </c>
      <c r="B79" s="44"/>
      <c r="C79" s="4">
        <v>44648</v>
      </c>
      <c r="D79" s="4"/>
      <c r="E79" s="4">
        <v>44734</v>
      </c>
      <c r="F79" s="40"/>
      <c r="G79" s="5"/>
      <c r="H79" s="5">
        <v>13.72</v>
      </c>
      <c r="I79" s="102">
        <f>56/30*84</f>
        <v>156.80000000000001</v>
      </c>
      <c r="J79" s="5">
        <v>95</v>
      </c>
      <c r="K79" s="5"/>
      <c r="L79" s="6">
        <v>140</v>
      </c>
      <c r="M79" s="61">
        <v>56</v>
      </c>
      <c r="N79" s="6">
        <f>(140-56)*0.7</f>
        <v>58.8</v>
      </c>
    </row>
    <row r="80" spans="1:16">
      <c r="A80" s="44" t="s">
        <v>172</v>
      </c>
      <c r="B80" s="44"/>
      <c r="C80" s="4">
        <v>44705</v>
      </c>
      <c r="D80" s="4"/>
      <c r="E80" s="4">
        <v>44715</v>
      </c>
      <c r="F80" s="40"/>
      <c r="G80" s="5"/>
      <c r="H80" s="5">
        <v>10.039999999999999</v>
      </c>
      <c r="I80" s="102">
        <f>25/30*9</f>
        <v>7.5</v>
      </c>
      <c r="J80" s="5"/>
      <c r="K80" s="5"/>
      <c r="L80" s="6">
        <v>50</v>
      </c>
      <c r="M80" s="61">
        <v>25</v>
      </c>
      <c r="N80" s="6">
        <f>(50-25)*0.7</f>
        <v>17.5</v>
      </c>
    </row>
    <row r="81" spans="1:14">
      <c r="A81" s="44" t="s">
        <v>173</v>
      </c>
      <c r="B81" s="44"/>
      <c r="C81" s="4">
        <v>44704</v>
      </c>
      <c r="D81" s="4"/>
      <c r="E81" s="4">
        <v>44721</v>
      </c>
      <c r="F81" s="10" t="s">
        <v>161</v>
      </c>
      <c r="G81" s="56">
        <v>12.5</v>
      </c>
      <c r="H81" s="5">
        <v>13.72</v>
      </c>
      <c r="I81" s="102">
        <f>37/30*16</f>
        <v>19.733333333333334</v>
      </c>
      <c r="J81" s="5">
        <f>50+45</f>
        <v>95</v>
      </c>
      <c r="K81" s="5"/>
      <c r="L81" s="6">
        <v>129</v>
      </c>
      <c r="M81" s="61">
        <v>54.5</v>
      </c>
      <c r="N81" s="56">
        <f>12.5+(116.5-54.5)*0.7</f>
        <v>55.9</v>
      </c>
    </row>
    <row r="82" spans="1:14">
      <c r="A82" s="44" t="s">
        <v>174</v>
      </c>
      <c r="B82" s="44"/>
      <c r="C82" s="4">
        <v>44715</v>
      </c>
      <c r="D82" s="4"/>
      <c r="E82" s="4">
        <v>44820</v>
      </c>
      <c r="F82" s="10" t="s">
        <v>161</v>
      </c>
      <c r="G82" s="56">
        <v>15</v>
      </c>
      <c r="H82" s="5">
        <v>14.6</v>
      </c>
      <c r="I82" s="102">
        <f>56/30*103</f>
        <v>192.26666666666668</v>
      </c>
      <c r="J82" s="5">
        <v>50</v>
      </c>
      <c r="K82" s="5"/>
      <c r="L82" s="6">
        <f>130</f>
        <v>130</v>
      </c>
      <c r="M82" s="61">
        <v>56</v>
      </c>
      <c r="N82" s="56">
        <f>15+(115-56)*0.7</f>
        <v>56.3</v>
      </c>
    </row>
    <row r="83" spans="1:14">
      <c r="A83" s="44" t="s">
        <v>183</v>
      </c>
      <c r="B83" s="44"/>
      <c r="C83" s="4">
        <v>44749</v>
      </c>
      <c r="D83" s="4">
        <v>44830</v>
      </c>
      <c r="E83" s="4">
        <v>44858</v>
      </c>
      <c r="F83" s="40"/>
      <c r="G83" s="5"/>
      <c r="H83" s="5">
        <v>11.03</v>
      </c>
      <c r="I83" s="102">
        <v>25</v>
      </c>
      <c r="J83" s="5">
        <v>15</v>
      </c>
      <c r="K83" s="5"/>
      <c r="L83" s="6">
        <v>80</v>
      </c>
      <c r="M83" s="61">
        <v>25</v>
      </c>
      <c r="N83" s="6">
        <f>55*0.7</f>
        <v>38.5</v>
      </c>
    </row>
    <row r="84" spans="1:14">
      <c r="A84" s="44" t="s">
        <v>184</v>
      </c>
      <c r="B84" s="44"/>
      <c r="C84" s="4">
        <v>44775</v>
      </c>
      <c r="D84" s="4">
        <v>44810</v>
      </c>
      <c r="E84" s="4">
        <v>44848</v>
      </c>
      <c r="F84" s="40"/>
      <c r="G84" s="5"/>
      <c r="H84" s="5">
        <v>23.38</v>
      </c>
      <c r="I84" s="102">
        <f>100/30*38</f>
        <v>126.66666666666667</v>
      </c>
      <c r="J84" s="5">
        <v>155</v>
      </c>
      <c r="K84" s="5"/>
      <c r="L84" s="6">
        <v>220</v>
      </c>
      <c r="M84" s="61">
        <v>100</v>
      </c>
      <c r="N84" s="6">
        <v>90.75</v>
      </c>
    </row>
    <row r="85" spans="1:14">
      <c r="A85" s="44" t="s">
        <v>185</v>
      </c>
      <c r="B85" s="44"/>
      <c r="C85" s="4">
        <v>44830</v>
      </c>
      <c r="D85" s="4">
        <v>44852</v>
      </c>
      <c r="E85" s="4">
        <v>44858</v>
      </c>
      <c r="F85" s="10" t="s">
        <v>161</v>
      </c>
      <c r="G85" s="12">
        <v>15</v>
      </c>
      <c r="H85" s="5">
        <v>23.38</v>
      </c>
      <c r="I85" s="102">
        <f>54.5/30*6</f>
        <v>10.9</v>
      </c>
      <c r="J85" s="5">
        <v>95</v>
      </c>
      <c r="K85" s="5"/>
      <c r="L85" s="6">
        <v>160</v>
      </c>
      <c r="M85" s="61">
        <v>64.5</v>
      </c>
      <c r="N85" s="6">
        <f>15+(145-64.5)*0.7</f>
        <v>71.349999999999994</v>
      </c>
    </row>
    <row r="86" spans="1:14">
      <c r="A86" s="44" t="s">
        <v>190</v>
      </c>
      <c r="B86" s="44"/>
      <c r="C86" s="4"/>
      <c r="D86" s="4">
        <v>44879</v>
      </c>
      <c r="E86" s="35">
        <v>44887</v>
      </c>
      <c r="F86" s="44" t="s">
        <v>161</v>
      </c>
      <c r="G86" s="56">
        <v>10</v>
      </c>
      <c r="H86" s="5">
        <v>14.6</v>
      </c>
      <c r="I86" s="102">
        <f>34/30*8</f>
        <v>9.0666666666666664</v>
      </c>
      <c r="J86" s="5">
        <v>45</v>
      </c>
      <c r="K86" s="5"/>
      <c r="L86" s="6">
        <v>75</v>
      </c>
      <c r="M86" s="61">
        <v>34</v>
      </c>
      <c r="N86" s="56">
        <f>10+(80-34)*0.7</f>
        <v>42.199999999999996</v>
      </c>
    </row>
    <row r="87" spans="1:14">
      <c r="A87" s="44" t="s">
        <v>193</v>
      </c>
      <c r="B87" s="44"/>
      <c r="C87" s="4">
        <v>44872</v>
      </c>
      <c r="D87" s="4">
        <v>44879</v>
      </c>
      <c r="E87" s="35">
        <v>44882</v>
      </c>
      <c r="F87" s="40"/>
      <c r="G87" s="5"/>
      <c r="H87" s="5">
        <v>10.039999999999999</v>
      </c>
      <c r="I87" s="102">
        <f>25/30*3</f>
        <v>2.5</v>
      </c>
      <c r="J87" s="5"/>
      <c r="K87" s="5"/>
      <c r="L87" s="6">
        <v>40</v>
      </c>
      <c r="M87" s="61">
        <v>25</v>
      </c>
      <c r="N87" s="6">
        <f>(L87-M87)*0.7</f>
        <v>10.5</v>
      </c>
    </row>
    <row r="88" spans="1:14">
      <c r="A88" s="44" t="s">
        <v>213</v>
      </c>
      <c r="B88" s="44"/>
      <c r="C88" s="4">
        <v>44894</v>
      </c>
      <c r="D88" s="4">
        <v>44908</v>
      </c>
      <c r="E88" s="35">
        <v>44944</v>
      </c>
      <c r="F88" s="40" t="s">
        <v>161</v>
      </c>
      <c r="G88" s="5">
        <v>15</v>
      </c>
      <c r="H88" s="5">
        <v>31.72</v>
      </c>
      <c r="I88" s="102">
        <f>50/30*35</f>
        <v>58.333333333333336</v>
      </c>
      <c r="J88" s="5">
        <f>60+50</f>
        <v>110</v>
      </c>
      <c r="K88" s="5"/>
      <c r="L88" s="6">
        <v>119</v>
      </c>
      <c r="M88" s="61">
        <v>54</v>
      </c>
      <c r="N88" s="94">
        <f>15+(L88-M88-15)*0.7</f>
        <v>50</v>
      </c>
    </row>
    <row r="89" spans="1:14">
      <c r="A89" s="44" t="s">
        <v>227</v>
      </c>
      <c r="B89" s="44"/>
      <c r="C89" s="4">
        <v>44949</v>
      </c>
      <c r="D89" s="4">
        <v>44953</v>
      </c>
      <c r="E89" s="35">
        <v>44966</v>
      </c>
      <c r="F89" s="40" t="s">
        <v>160</v>
      </c>
      <c r="G89" s="5">
        <v>15</v>
      </c>
      <c r="H89" s="5">
        <v>16.38</v>
      </c>
      <c r="I89" s="102">
        <f>61.5/30*12</f>
        <v>24.599999999999998</v>
      </c>
      <c r="J89" s="5">
        <f>50+60</f>
        <v>110</v>
      </c>
      <c r="K89" s="5"/>
      <c r="L89" s="6">
        <v>160</v>
      </c>
      <c r="M89" s="65">
        <f>32.5+7+22</f>
        <v>61.5</v>
      </c>
      <c r="N89" s="59">
        <f>15+(L89-M89-15)*0.7</f>
        <v>73.449999999999989</v>
      </c>
    </row>
    <row r="90" spans="1:14">
      <c r="A90" s="44" t="s">
        <v>228</v>
      </c>
      <c r="B90" s="44"/>
      <c r="C90" s="4">
        <v>44957</v>
      </c>
      <c r="D90" s="4">
        <v>44957</v>
      </c>
      <c r="E90" s="35">
        <v>44977</v>
      </c>
      <c r="F90" s="40"/>
      <c r="G90" s="5"/>
      <c r="H90" s="5">
        <v>20.61</v>
      </c>
      <c r="I90" s="102">
        <f>66/30*20</f>
        <v>44</v>
      </c>
      <c r="J90" s="5">
        <v>90</v>
      </c>
      <c r="K90" s="5"/>
      <c r="L90" s="6">
        <v>155</v>
      </c>
      <c r="M90" s="65">
        <v>54</v>
      </c>
      <c r="N90" s="59">
        <f>(L90-M90)*0.7</f>
        <v>70.699999999999989</v>
      </c>
    </row>
    <row r="91" spans="1:14">
      <c r="A91" s="44" t="s">
        <v>255</v>
      </c>
      <c r="B91" s="44"/>
      <c r="C91" s="35">
        <v>44691</v>
      </c>
      <c r="D91" s="35">
        <v>44994</v>
      </c>
      <c r="E91" s="4">
        <v>44994</v>
      </c>
      <c r="F91" s="40"/>
      <c r="G91" s="40"/>
      <c r="H91" s="5">
        <v>11.03</v>
      </c>
      <c r="I91" s="102">
        <f>25*14</f>
        <v>350</v>
      </c>
      <c r="J91" s="40">
        <f>30+50</f>
        <v>80</v>
      </c>
      <c r="K91" s="40"/>
      <c r="L91" s="6">
        <v>90</v>
      </c>
      <c r="M91" s="6">
        <v>25</v>
      </c>
      <c r="N91" s="59">
        <v>48.5</v>
      </c>
    </row>
    <row r="92" spans="1:14">
      <c r="A92" s="44" t="s">
        <v>187</v>
      </c>
      <c r="B92" s="44"/>
      <c r="C92" s="35"/>
      <c r="D92" s="35">
        <v>44991</v>
      </c>
      <c r="E92" s="4">
        <v>44991</v>
      </c>
      <c r="F92" s="40"/>
      <c r="G92" s="40"/>
      <c r="H92" s="5">
        <v>13.31</v>
      </c>
      <c r="I92" s="102"/>
      <c r="J92" s="40">
        <v>45</v>
      </c>
      <c r="K92" s="40"/>
      <c r="L92" s="6">
        <v>80</v>
      </c>
      <c r="M92" s="6">
        <v>27</v>
      </c>
      <c r="N92" s="59">
        <f>(L92-M92)*0.7</f>
        <v>37.099999999999994</v>
      </c>
    </row>
    <row r="93" spans="1:14">
      <c r="A93" s="76" t="s">
        <v>276</v>
      </c>
      <c r="B93" s="44"/>
      <c r="C93" s="35">
        <v>45061</v>
      </c>
      <c r="D93" s="35">
        <v>45070</v>
      </c>
      <c r="E93" s="4"/>
      <c r="F93" s="40"/>
      <c r="G93" s="40"/>
      <c r="H93" s="5">
        <v>11.48</v>
      </c>
      <c r="I93" s="102">
        <f>21/30*9</f>
        <v>6.3</v>
      </c>
      <c r="J93" s="40"/>
      <c r="K93" s="40"/>
      <c r="L93" s="17">
        <f>50</f>
        <v>50</v>
      </c>
      <c r="M93" s="18">
        <v>21</v>
      </c>
      <c r="N93" s="70">
        <f>(50-21)*0.7</f>
        <v>20.299999999999997</v>
      </c>
    </row>
    <row r="94" spans="1:14">
      <c r="A94" s="76" t="s">
        <v>279</v>
      </c>
      <c r="B94" s="44"/>
      <c r="C94" s="35">
        <v>45065</v>
      </c>
      <c r="D94" s="35">
        <v>45070</v>
      </c>
      <c r="E94" s="4"/>
      <c r="F94" s="40"/>
      <c r="G94" s="40"/>
      <c r="H94" s="5">
        <v>11.48</v>
      </c>
      <c r="I94" s="102">
        <f>21/30*5</f>
        <v>3.5</v>
      </c>
      <c r="J94" s="40"/>
      <c r="K94" s="40"/>
      <c r="L94" s="17">
        <f>50</f>
        <v>50</v>
      </c>
      <c r="M94" s="18">
        <v>21</v>
      </c>
      <c r="N94" s="70">
        <f>(50-21)*0.7</f>
        <v>20.299999999999997</v>
      </c>
    </row>
    <row r="95" spans="1:14">
      <c r="A95" s="76" t="s">
        <v>278</v>
      </c>
      <c r="B95" s="52"/>
      <c r="C95" s="57">
        <v>44973</v>
      </c>
      <c r="D95" s="57">
        <v>45070</v>
      </c>
      <c r="E95" s="24"/>
      <c r="F95" s="48"/>
      <c r="G95" s="48"/>
      <c r="H95" s="25">
        <v>11.48</v>
      </c>
      <c r="I95" s="103">
        <f>21/30*98</f>
        <v>68.599999999999994</v>
      </c>
      <c r="J95" s="48"/>
      <c r="K95" s="48"/>
      <c r="L95" s="17">
        <v>50</v>
      </c>
      <c r="M95" s="26">
        <v>21</v>
      </c>
      <c r="N95" s="85">
        <f>(50-21)*0.7</f>
        <v>20.299999999999997</v>
      </c>
    </row>
    <row r="96" spans="1:14">
      <c r="A96" s="44" t="s">
        <v>289</v>
      </c>
      <c r="B96" s="44"/>
      <c r="C96" s="35">
        <v>45110</v>
      </c>
      <c r="D96" s="35">
        <v>45127</v>
      </c>
      <c r="E96" s="4">
        <v>45110</v>
      </c>
      <c r="F96" s="40"/>
      <c r="G96" s="40"/>
      <c r="H96" s="5">
        <v>13.31</v>
      </c>
      <c r="I96" s="102">
        <f>27/30*17</f>
        <v>15.3</v>
      </c>
      <c r="J96" s="40">
        <v>45</v>
      </c>
      <c r="K96" s="40"/>
      <c r="L96" s="6">
        <v>75</v>
      </c>
      <c r="M96" s="6">
        <v>27</v>
      </c>
      <c r="N96" s="59">
        <f>(L96-M96)*0.7</f>
        <v>33.599999999999994</v>
      </c>
    </row>
    <row r="97" spans="1:16">
      <c r="A97" s="44" t="s">
        <v>292</v>
      </c>
      <c r="B97" s="44"/>
      <c r="C97" s="35">
        <v>45138</v>
      </c>
      <c r="D97" s="35">
        <v>45139</v>
      </c>
      <c r="E97" s="35">
        <v>45162</v>
      </c>
      <c r="F97" s="40"/>
      <c r="G97" s="40"/>
      <c r="H97" s="5">
        <v>12.48</v>
      </c>
      <c r="I97" s="102">
        <f>27/30*23</f>
        <v>20.7</v>
      </c>
      <c r="J97" s="40">
        <v>45</v>
      </c>
      <c r="K97" s="40"/>
      <c r="L97" s="6">
        <v>90</v>
      </c>
      <c r="M97" s="6">
        <v>27</v>
      </c>
      <c r="N97" s="59">
        <f>(L97-M97)*0.7</f>
        <v>44.099999999999994</v>
      </c>
    </row>
    <row r="98" spans="1:16">
      <c r="A98" s="44" t="s">
        <v>293</v>
      </c>
      <c r="B98" s="44"/>
      <c r="C98" s="35">
        <v>45086</v>
      </c>
      <c r="D98" s="35">
        <v>45089</v>
      </c>
      <c r="E98" s="4">
        <v>45103</v>
      </c>
      <c r="F98" s="40"/>
      <c r="G98" s="40"/>
      <c r="H98" s="5">
        <v>11.03</v>
      </c>
      <c r="I98" s="102">
        <f>21/30*14</f>
        <v>9.7999999999999989</v>
      </c>
      <c r="J98" s="40"/>
      <c r="K98" s="40"/>
      <c r="L98" s="6">
        <v>50</v>
      </c>
      <c r="M98" s="6">
        <v>21</v>
      </c>
      <c r="N98" s="59">
        <f>(L98-M98)*0.7</f>
        <v>20.299999999999997</v>
      </c>
    </row>
    <row r="99" spans="1:16">
      <c r="A99" s="44" t="s">
        <v>295</v>
      </c>
      <c r="B99" s="44"/>
      <c r="C99" s="35">
        <v>45228</v>
      </c>
      <c r="D99" s="35">
        <v>45203</v>
      </c>
      <c r="E99" s="4"/>
      <c r="F99" s="40"/>
      <c r="G99" s="40"/>
      <c r="H99" s="5">
        <v>13.31</v>
      </c>
      <c r="I99" s="102">
        <f>27/30*5</f>
        <v>4.5</v>
      </c>
      <c r="J99" s="40">
        <v>45</v>
      </c>
      <c r="K99" s="40"/>
      <c r="L99" s="6">
        <v>80</v>
      </c>
      <c r="M99" s="6">
        <v>27</v>
      </c>
      <c r="N99" s="59">
        <f>(L99-M99)*0.7</f>
        <v>37.099999999999994</v>
      </c>
    </row>
    <row r="100" spans="1:16">
      <c r="A100" s="44" t="s">
        <v>320</v>
      </c>
      <c r="B100" s="44"/>
      <c r="C100" s="35">
        <v>45177</v>
      </c>
      <c r="D100" s="35">
        <v>45196</v>
      </c>
      <c r="E100" s="4"/>
      <c r="F100" s="40"/>
      <c r="G100" s="40"/>
      <c r="H100" s="5">
        <v>10.44</v>
      </c>
      <c r="I100" s="102">
        <f>38/30*21</f>
        <v>26.599999999999998</v>
      </c>
      <c r="J100" s="40"/>
      <c r="K100" s="40"/>
      <c r="L100" s="6">
        <v>69</v>
      </c>
      <c r="M100" s="6">
        <v>38</v>
      </c>
      <c r="N100" s="59">
        <f>(69-38)*0.7</f>
        <v>21.7</v>
      </c>
    </row>
    <row r="101" spans="1:16">
      <c r="A101" s="44" t="s">
        <v>325</v>
      </c>
      <c r="B101" s="44"/>
      <c r="C101" s="35"/>
      <c r="D101" s="35">
        <v>45223</v>
      </c>
      <c r="E101" s="4">
        <v>45239</v>
      </c>
      <c r="F101" s="40"/>
      <c r="G101" s="40"/>
      <c r="H101" s="5">
        <v>40</v>
      </c>
      <c r="I101" s="102">
        <f>43/30*15</f>
        <v>21.5</v>
      </c>
      <c r="J101" s="40"/>
      <c r="K101" s="40"/>
      <c r="L101" s="6">
        <v>69</v>
      </c>
      <c r="M101" s="6">
        <v>43</v>
      </c>
      <c r="N101" s="94">
        <f>(69-43)*0.7</f>
        <v>18.2</v>
      </c>
      <c r="O101" s="72" t="s">
        <v>329</v>
      </c>
      <c r="P101" s="72">
        <v>12.74</v>
      </c>
    </row>
    <row r="102" spans="1:16">
      <c r="A102" s="44" t="s">
        <v>326</v>
      </c>
      <c r="B102" s="44"/>
      <c r="C102" s="35"/>
      <c r="D102" s="35">
        <v>45188</v>
      </c>
      <c r="E102" s="4">
        <v>45209</v>
      </c>
      <c r="F102" s="40"/>
      <c r="G102" s="40"/>
      <c r="H102" s="5">
        <v>11.48</v>
      </c>
      <c r="I102" s="102"/>
      <c r="J102" s="40"/>
      <c r="K102" s="40"/>
      <c r="L102" s="6">
        <v>59</v>
      </c>
      <c r="M102" s="6">
        <v>38</v>
      </c>
      <c r="N102" s="59">
        <f>(L102-M102)*0.7</f>
        <v>14.7</v>
      </c>
    </row>
    <row r="103" spans="1:16">
      <c r="A103" s="44" t="s">
        <v>108</v>
      </c>
      <c r="B103" s="44"/>
      <c r="C103" s="35"/>
      <c r="D103" s="35">
        <v>45231</v>
      </c>
      <c r="E103" s="4">
        <v>45231</v>
      </c>
      <c r="F103" s="40"/>
      <c r="G103" s="40"/>
      <c r="H103" s="5"/>
      <c r="I103" s="102"/>
      <c r="J103" s="40"/>
      <c r="K103" s="40"/>
      <c r="L103" s="6">
        <v>69</v>
      </c>
      <c r="M103" s="6">
        <v>43</v>
      </c>
      <c r="N103" s="59">
        <f>(L103-M103)*0.7</f>
        <v>18.2</v>
      </c>
    </row>
    <row r="104" spans="1:16">
      <c r="A104" s="44" t="s">
        <v>327</v>
      </c>
      <c r="B104" s="44"/>
      <c r="C104" s="35"/>
      <c r="D104" s="35"/>
      <c r="E104" s="4">
        <v>45127</v>
      </c>
      <c r="F104" s="40"/>
      <c r="G104" s="40"/>
      <c r="H104" s="5">
        <v>11.48</v>
      </c>
      <c r="I104" s="102"/>
      <c r="J104" s="40"/>
      <c r="K104" s="40"/>
      <c r="L104" s="6">
        <v>25</v>
      </c>
      <c r="M104" s="6">
        <v>9</v>
      </c>
      <c r="N104" s="59">
        <f>(L104-M104)*0.7</f>
        <v>11.2</v>
      </c>
    </row>
    <row r="105" spans="1:16">
      <c r="A105" s="44" t="s">
        <v>336</v>
      </c>
      <c r="B105" s="44"/>
      <c r="C105" s="35"/>
      <c r="D105" s="35">
        <v>45278</v>
      </c>
      <c r="E105" s="4">
        <v>45278</v>
      </c>
      <c r="F105" s="40"/>
      <c r="G105" s="40"/>
      <c r="H105" s="5"/>
      <c r="I105" s="102"/>
      <c r="J105" s="40"/>
      <c r="K105" s="40"/>
      <c r="L105" s="6">
        <v>69</v>
      </c>
      <c r="M105" s="6">
        <v>43</v>
      </c>
      <c r="N105" s="59">
        <f>(69-43)*0.7/30*42</f>
        <v>25.48</v>
      </c>
    </row>
    <row r="106" spans="1:16">
      <c r="A106" s="44" t="s">
        <v>337</v>
      </c>
      <c r="B106" s="44"/>
      <c r="C106" s="35">
        <v>45342</v>
      </c>
      <c r="D106" s="35">
        <v>44977</v>
      </c>
      <c r="E106" s="4">
        <v>45342</v>
      </c>
      <c r="F106" s="40"/>
      <c r="G106" s="40"/>
      <c r="H106" s="5">
        <v>13.78</v>
      </c>
      <c r="I106" s="102"/>
      <c r="J106" s="40">
        <f>45+50</f>
        <v>95</v>
      </c>
      <c r="K106" s="40"/>
      <c r="L106" s="6">
        <v>100</v>
      </c>
      <c r="M106" s="6">
        <v>38.5</v>
      </c>
      <c r="N106" s="59">
        <f t="shared" ref="N106:N127" si="2">(L106-M106)*0.7</f>
        <v>43.05</v>
      </c>
    </row>
    <row r="107" spans="1:16">
      <c r="A107" s="44" t="s">
        <v>338</v>
      </c>
      <c r="B107" s="44"/>
      <c r="C107" s="35">
        <v>45271</v>
      </c>
      <c r="D107" s="35"/>
      <c r="E107" s="4">
        <v>45301</v>
      </c>
      <c r="F107" s="40"/>
      <c r="G107" s="40"/>
      <c r="H107" s="5">
        <v>14.26</v>
      </c>
      <c r="I107" s="102">
        <f>25/30*29</f>
        <v>24.166666666666668</v>
      </c>
      <c r="J107" s="40">
        <f>30+50</f>
        <v>80</v>
      </c>
      <c r="K107" s="40"/>
      <c r="L107" s="6">
        <v>80</v>
      </c>
      <c r="M107" s="6">
        <v>29</v>
      </c>
      <c r="N107" s="59">
        <f t="shared" si="2"/>
        <v>35.699999999999996</v>
      </c>
      <c r="O107" t="s">
        <v>339</v>
      </c>
    </row>
    <row r="108" spans="1:16">
      <c r="A108" s="44" t="s">
        <v>333</v>
      </c>
      <c r="B108" s="44"/>
      <c r="C108" s="35"/>
      <c r="D108" s="35"/>
      <c r="E108" s="4">
        <v>45336</v>
      </c>
      <c r="F108" s="40"/>
      <c r="G108" s="40"/>
      <c r="H108" s="5">
        <v>10</v>
      </c>
      <c r="I108" s="102">
        <v>0</v>
      </c>
      <c r="J108" s="40">
        <v>120</v>
      </c>
      <c r="K108" s="40"/>
      <c r="L108" s="6">
        <v>160</v>
      </c>
      <c r="M108" s="6">
        <v>72</v>
      </c>
      <c r="N108" s="59">
        <f t="shared" si="2"/>
        <v>61.599999999999994</v>
      </c>
    </row>
    <row r="109" spans="1:16">
      <c r="A109" s="44" t="s">
        <v>343</v>
      </c>
      <c r="B109" s="44"/>
      <c r="C109" s="35"/>
      <c r="D109" s="35"/>
      <c r="E109" s="4">
        <v>45336</v>
      </c>
      <c r="F109" s="40"/>
      <c r="G109" s="40"/>
      <c r="H109" s="5">
        <v>10.92</v>
      </c>
      <c r="I109" s="102"/>
      <c r="J109" s="40"/>
      <c r="K109" s="40"/>
      <c r="L109" s="6">
        <v>59</v>
      </c>
      <c r="M109" s="6">
        <v>38</v>
      </c>
      <c r="N109" s="59">
        <f t="shared" si="2"/>
        <v>14.7</v>
      </c>
    </row>
    <row r="110" spans="1:16">
      <c r="A110" s="44" t="s">
        <v>381</v>
      </c>
      <c r="B110" s="44"/>
      <c r="C110" s="35"/>
      <c r="D110" s="35">
        <v>45323</v>
      </c>
      <c r="E110" s="4">
        <v>45323</v>
      </c>
      <c r="F110" s="40"/>
      <c r="G110" s="40"/>
      <c r="H110" s="5">
        <v>10.92</v>
      </c>
      <c r="I110" s="102"/>
      <c r="J110" s="40"/>
      <c r="K110" s="40"/>
      <c r="L110" s="6">
        <v>59</v>
      </c>
      <c r="M110" s="6">
        <v>38</v>
      </c>
      <c r="N110" s="59">
        <f t="shared" si="2"/>
        <v>14.7</v>
      </c>
    </row>
    <row r="111" spans="1:16">
      <c r="A111" s="44" t="s">
        <v>345</v>
      </c>
      <c r="B111" s="44"/>
      <c r="C111" s="35"/>
      <c r="D111" s="35"/>
      <c r="E111" s="4">
        <v>45345</v>
      </c>
      <c r="F111" s="40"/>
      <c r="G111" s="40"/>
      <c r="H111" s="5">
        <v>24.2</v>
      </c>
      <c r="I111" s="102"/>
      <c r="J111" s="40">
        <v>45</v>
      </c>
      <c r="K111" s="40"/>
      <c r="L111" s="6">
        <v>90</v>
      </c>
      <c r="M111" s="6">
        <f>7+9</f>
        <v>16</v>
      </c>
      <c r="N111" s="59">
        <f t="shared" si="2"/>
        <v>51.8</v>
      </c>
    </row>
    <row r="112" spans="1:16">
      <c r="A112" s="44" t="s">
        <v>346</v>
      </c>
      <c r="B112" s="44"/>
      <c r="C112" s="35"/>
      <c r="D112" s="35"/>
      <c r="E112" s="4">
        <v>45334</v>
      </c>
      <c r="F112" s="40"/>
      <c r="G112" s="40"/>
      <c r="H112" s="5">
        <v>12.01</v>
      </c>
      <c r="I112" s="102"/>
      <c r="J112" s="40">
        <v>15</v>
      </c>
      <c r="K112" s="40"/>
      <c r="L112" s="6">
        <v>20</v>
      </c>
      <c r="M112" s="6">
        <v>9</v>
      </c>
      <c r="N112" s="70">
        <f t="shared" si="2"/>
        <v>7.6999999999999993</v>
      </c>
    </row>
    <row r="113" spans="1:14">
      <c r="A113" s="44" t="s">
        <v>361</v>
      </c>
      <c r="B113" s="44"/>
      <c r="C113" s="35"/>
      <c r="D113" s="35">
        <v>45366</v>
      </c>
      <c r="E113" s="4">
        <v>45385</v>
      </c>
      <c r="F113" s="40"/>
      <c r="G113" s="40"/>
      <c r="H113" s="5"/>
      <c r="I113" s="102">
        <f>69/30*18</f>
        <v>41.4</v>
      </c>
      <c r="J113" s="40"/>
      <c r="K113" s="40"/>
      <c r="L113" s="6">
        <v>69</v>
      </c>
      <c r="M113" s="6">
        <v>43</v>
      </c>
      <c r="N113" s="70">
        <f t="shared" si="2"/>
        <v>18.2</v>
      </c>
    </row>
    <row r="114" spans="1:14">
      <c r="A114" s="44" t="s">
        <v>365</v>
      </c>
      <c r="B114" s="44"/>
      <c r="C114" s="35"/>
      <c r="D114" s="35">
        <v>45450</v>
      </c>
      <c r="E114" s="4">
        <v>45456</v>
      </c>
      <c r="F114" s="40"/>
      <c r="G114" s="40"/>
      <c r="H114" s="5"/>
      <c r="I114" s="102">
        <f>47/30*5</f>
        <v>7.833333333333333</v>
      </c>
      <c r="J114" s="40"/>
      <c r="K114" s="40"/>
      <c r="L114" s="6">
        <v>69</v>
      </c>
      <c r="M114" s="6">
        <v>47</v>
      </c>
      <c r="N114" s="59">
        <f t="shared" si="2"/>
        <v>15.399999999999999</v>
      </c>
    </row>
    <row r="115" spans="1:14">
      <c r="A115" s="44" t="s">
        <v>358</v>
      </c>
      <c r="B115" s="44"/>
      <c r="C115" s="35"/>
      <c r="D115" s="35">
        <v>45468</v>
      </c>
      <c r="E115" s="4">
        <v>45468</v>
      </c>
      <c r="F115" s="40"/>
      <c r="G115" s="40"/>
      <c r="H115" s="5">
        <v>12.01</v>
      </c>
      <c r="I115" s="102"/>
      <c r="J115" s="40"/>
      <c r="K115" s="40"/>
      <c r="L115" s="6">
        <v>59</v>
      </c>
      <c r="M115" s="6">
        <v>38</v>
      </c>
      <c r="N115" s="59">
        <f t="shared" si="2"/>
        <v>14.7</v>
      </c>
    </row>
    <row r="116" spans="1:14">
      <c r="A116" s="44" t="s">
        <v>218</v>
      </c>
      <c r="B116" s="44"/>
      <c r="C116" s="35"/>
      <c r="D116" s="35">
        <v>45456</v>
      </c>
      <c r="E116" s="4">
        <v>45456</v>
      </c>
      <c r="F116" s="40"/>
      <c r="G116" s="40"/>
      <c r="H116" s="5">
        <v>10</v>
      </c>
      <c r="I116" s="102"/>
      <c r="J116" s="40">
        <v>45</v>
      </c>
      <c r="K116" s="40"/>
      <c r="L116" s="6">
        <v>80</v>
      </c>
      <c r="M116" s="6">
        <v>27</v>
      </c>
      <c r="N116" s="59">
        <f t="shared" si="2"/>
        <v>37.099999999999994</v>
      </c>
    </row>
    <row r="117" spans="1:14">
      <c r="A117" s="44" t="s">
        <v>366</v>
      </c>
      <c r="B117" s="44"/>
      <c r="C117" s="35"/>
      <c r="D117" s="35">
        <v>45454</v>
      </c>
      <c r="E117" s="4"/>
      <c r="F117" s="40"/>
      <c r="G117" s="40"/>
      <c r="H117" s="5"/>
      <c r="I117" s="102"/>
      <c r="J117" s="40"/>
      <c r="K117" s="40"/>
      <c r="L117" s="6">
        <v>59</v>
      </c>
      <c r="M117" s="6">
        <v>38</v>
      </c>
      <c r="N117" s="59">
        <f t="shared" si="2"/>
        <v>14.7</v>
      </c>
    </row>
    <row r="118" spans="1:14">
      <c r="A118" s="44" t="s">
        <v>64</v>
      </c>
      <c r="B118" s="44"/>
      <c r="C118" s="35"/>
      <c r="D118" s="35">
        <v>45469</v>
      </c>
      <c r="E118" s="4">
        <v>45469</v>
      </c>
      <c r="F118" s="40"/>
      <c r="G118" s="40"/>
      <c r="H118" s="5"/>
      <c r="I118" s="102"/>
      <c r="J118" s="40"/>
      <c r="K118" s="40"/>
      <c r="L118" s="6">
        <v>100</v>
      </c>
      <c r="M118" s="18">
        <v>5</v>
      </c>
      <c r="N118" s="59">
        <f t="shared" si="2"/>
        <v>66.5</v>
      </c>
    </row>
    <row r="119" spans="1:14">
      <c r="A119" s="44" t="s">
        <v>369</v>
      </c>
      <c r="B119" s="44"/>
      <c r="C119" s="35"/>
      <c r="D119" s="35">
        <v>45464</v>
      </c>
      <c r="E119" s="4">
        <v>41811</v>
      </c>
      <c r="F119" s="40"/>
      <c r="G119" s="40"/>
      <c r="H119" s="5">
        <v>24.98</v>
      </c>
      <c r="I119" s="102"/>
      <c r="J119" s="40">
        <v>15</v>
      </c>
      <c r="K119" s="40"/>
      <c r="L119" s="6">
        <v>80</v>
      </c>
      <c r="M119" s="6">
        <v>42.5</v>
      </c>
      <c r="N119" s="59">
        <f t="shared" si="2"/>
        <v>26.25</v>
      </c>
    </row>
    <row r="120" spans="1:14">
      <c r="A120" s="44" t="s">
        <v>370</v>
      </c>
      <c r="B120" s="44"/>
      <c r="C120" s="35"/>
      <c r="D120" s="35">
        <v>45444</v>
      </c>
      <c r="E120" s="4">
        <v>41791</v>
      </c>
      <c r="F120" s="40"/>
      <c r="G120" s="40"/>
      <c r="H120" s="5">
        <v>12.98</v>
      </c>
      <c r="I120" s="102"/>
      <c r="J120" s="40">
        <v>30</v>
      </c>
      <c r="K120" s="40"/>
      <c r="L120" s="6">
        <v>65</v>
      </c>
      <c r="M120" s="6">
        <v>18</v>
      </c>
      <c r="N120" s="59">
        <f t="shared" si="2"/>
        <v>32.9</v>
      </c>
    </row>
    <row r="121" spans="1:14">
      <c r="A121" s="44" t="s">
        <v>375</v>
      </c>
      <c r="B121" s="44"/>
      <c r="C121" s="35"/>
      <c r="D121" s="35">
        <v>45471</v>
      </c>
      <c r="E121" s="35">
        <v>45471</v>
      </c>
      <c r="F121" s="40"/>
      <c r="G121" s="40"/>
      <c r="H121" s="5">
        <f>10+12.01</f>
        <v>22.009999999999998</v>
      </c>
      <c r="I121" s="102"/>
      <c r="J121" s="40">
        <v>30</v>
      </c>
      <c r="K121" s="40"/>
      <c r="L121" s="6">
        <v>90</v>
      </c>
      <c r="M121" s="18">
        <f>38.5+1+18</f>
        <v>57.5</v>
      </c>
      <c r="N121" s="70">
        <f t="shared" si="2"/>
        <v>22.75</v>
      </c>
    </row>
    <row r="122" spans="1:14">
      <c r="A122" s="44" t="s">
        <v>83</v>
      </c>
      <c r="B122" s="44"/>
      <c r="C122" s="35"/>
      <c r="D122" s="35">
        <v>45482</v>
      </c>
      <c r="E122" s="35">
        <v>45482</v>
      </c>
      <c r="F122" s="40"/>
      <c r="G122" s="40"/>
      <c r="H122" s="5"/>
      <c r="I122" s="102"/>
      <c r="J122" s="40"/>
      <c r="K122" s="40"/>
      <c r="L122" s="6">
        <v>69</v>
      </c>
      <c r="M122" s="18">
        <v>43</v>
      </c>
      <c r="N122" s="70">
        <f t="shared" si="2"/>
        <v>18.2</v>
      </c>
    </row>
    <row r="123" spans="1:14">
      <c r="A123" s="44" t="s">
        <v>383</v>
      </c>
      <c r="B123" s="44"/>
      <c r="C123" s="35"/>
      <c r="D123" s="35">
        <v>45434</v>
      </c>
      <c r="E123" s="35">
        <v>45513</v>
      </c>
      <c r="F123" s="40"/>
      <c r="G123" s="40"/>
      <c r="H123" s="5">
        <v>14.58</v>
      </c>
      <c r="I123" s="102"/>
      <c r="J123" s="40"/>
      <c r="K123" s="40"/>
      <c r="L123" s="6">
        <v>69</v>
      </c>
      <c r="M123" s="18">
        <v>43</v>
      </c>
      <c r="N123" s="70">
        <f t="shared" si="2"/>
        <v>18.2</v>
      </c>
    </row>
    <row r="124" spans="1:14">
      <c r="A124" s="44" t="s">
        <v>384</v>
      </c>
      <c r="B124" s="44"/>
      <c r="C124" s="35"/>
      <c r="D124" s="35"/>
      <c r="E124" s="35">
        <v>45513</v>
      </c>
      <c r="F124" s="40"/>
      <c r="G124" s="40"/>
      <c r="H124" s="5"/>
      <c r="I124" s="102"/>
      <c r="J124" s="40">
        <v>60</v>
      </c>
      <c r="K124" s="40"/>
      <c r="L124" s="6">
        <v>105</v>
      </c>
      <c r="M124" s="6">
        <v>36</v>
      </c>
      <c r="N124" s="70">
        <f t="shared" si="2"/>
        <v>48.3</v>
      </c>
    </row>
    <row r="125" spans="1:14">
      <c r="A125" s="44" t="s">
        <v>389</v>
      </c>
      <c r="B125" s="44"/>
      <c r="C125" s="35"/>
      <c r="D125" s="35">
        <v>45574</v>
      </c>
      <c r="E125" s="35">
        <v>45574</v>
      </c>
      <c r="F125" s="40"/>
      <c r="G125" s="40"/>
      <c r="H125" s="5"/>
      <c r="I125" s="102"/>
      <c r="J125" s="40"/>
      <c r="K125" s="40"/>
      <c r="L125" s="6">
        <v>10</v>
      </c>
      <c r="M125" s="6">
        <v>1</v>
      </c>
      <c r="N125" s="59">
        <f t="shared" si="2"/>
        <v>6.3</v>
      </c>
    </row>
    <row r="126" spans="1:14">
      <c r="A126" s="44" t="s">
        <v>397</v>
      </c>
      <c r="B126" s="44"/>
      <c r="C126" s="35"/>
      <c r="D126" s="35">
        <v>45510</v>
      </c>
      <c r="E126" s="35">
        <v>45574</v>
      </c>
      <c r="F126" s="40"/>
      <c r="G126" s="40"/>
      <c r="H126" s="5">
        <v>31.89</v>
      </c>
      <c r="I126" s="102">
        <f>79/30*63*0.5</f>
        <v>82.95</v>
      </c>
      <c r="J126" s="40">
        <v>60</v>
      </c>
      <c r="K126" s="40"/>
      <c r="L126" s="6">
        <v>174</v>
      </c>
      <c r="M126" s="6">
        <v>79</v>
      </c>
      <c r="N126" s="59">
        <f t="shared" si="2"/>
        <v>66.5</v>
      </c>
    </row>
    <row r="127" spans="1:14">
      <c r="A127" s="44" t="s">
        <v>398</v>
      </c>
      <c r="B127" s="44"/>
      <c r="C127" s="35"/>
      <c r="D127" s="35">
        <v>45516</v>
      </c>
      <c r="E127" s="35">
        <v>45583</v>
      </c>
      <c r="F127" s="40"/>
      <c r="G127" s="40"/>
      <c r="H127" s="5"/>
      <c r="I127" s="102">
        <f>56.5/30*66*0.5</f>
        <v>62.15</v>
      </c>
      <c r="J127" s="40">
        <v>75</v>
      </c>
      <c r="K127" s="40"/>
      <c r="L127" s="6">
        <v>140</v>
      </c>
      <c r="M127" s="6">
        <v>56.5</v>
      </c>
      <c r="N127" s="59">
        <f t="shared" si="2"/>
        <v>58.449999999999996</v>
      </c>
    </row>
    <row r="128" spans="1:14">
      <c r="A128" s="44" t="s">
        <v>390</v>
      </c>
      <c r="B128" s="44"/>
      <c r="C128" s="35"/>
      <c r="D128" s="35">
        <v>45573</v>
      </c>
      <c r="E128" s="35">
        <v>45621</v>
      </c>
      <c r="F128" s="40"/>
      <c r="G128" s="40"/>
      <c r="H128" s="5">
        <v>16.940000000000001</v>
      </c>
      <c r="I128" s="102">
        <f>47.5/30*47</f>
        <v>74.416666666666657</v>
      </c>
      <c r="J128" s="40">
        <v>60</v>
      </c>
      <c r="K128" s="40"/>
      <c r="L128" s="6">
        <v>130</v>
      </c>
      <c r="M128" s="6">
        <v>63.5</v>
      </c>
      <c r="N128" s="59">
        <f>(L128-M128)*0.7</f>
        <v>46.55</v>
      </c>
    </row>
    <row r="129" spans="1:14">
      <c r="A129" s="44" t="s">
        <v>406</v>
      </c>
      <c r="B129" s="44"/>
      <c r="C129" s="35">
        <v>45624</v>
      </c>
      <c r="D129" s="35">
        <v>45631</v>
      </c>
      <c r="E129" s="35">
        <v>45631</v>
      </c>
      <c r="F129" s="40"/>
      <c r="G129" s="40"/>
      <c r="H129" s="5">
        <v>13.98</v>
      </c>
      <c r="I129" s="102"/>
      <c r="J129" s="40">
        <v>15</v>
      </c>
      <c r="K129" s="40"/>
      <c r="L129" s="6">
        <v>59</v>
      </c>
      <c r="M129" s="6">
        <v>38</v>
      </c>
      <c r="N129" s="59">
        <f>(L129-M129)*0.7</f>
        <v>14.7</v>
      </c>
    </row>
    <row r="130" spans="1:14">
      <c r="A130" s="44" t="s">
        <v>410</v>
      </c>
      <c r="B130" s="44"/>
      <c r="C130" s="35"/>
      <c r="D130" s="35"/>
      <c r="E130" s="35">
        <v>45613</v>
      </c>
      <c r="F130" s="40"/>
      <c r="G130" s="40"/>
      <c r="H130" s="5">
        <v>10</v>
      </c>
      <c r="I130" s="102">
        <f>-(14*14+14/30*13)</f>
        <v>-202.06666666666666</v>
      </c>
      <c r="J130" s="40">
        <v>15</v>
      </c>
      <c r="K130" s="40"/>
      <c r="L130" s="6">
        <v>30</v>
      </c>
      <c r="M130" s="6">
        <v>10</v>
      </c>
      <c r="N130" s="59">
        <f t="shared" ref="N130:N136" si="3">(L130-M130)*0.7</f>
        <v>14</v>
      </c>
    </row>
    <row r="131" spans="1:14">
      <c r="A131" s="44" t="s">
        <v>408</v>
      </c>
      <c r="B131" s="44"/>
      <c r="C131" s="35"/>
      <c r="D131" s="35">
        <v>45642</v>
      </c>
      <c r="E131" s="35">
        <v>45706</v>
      </c>
      <c r="F131" s="40"/>
      <c r="G131" s="40"/>
      <c r="H131" s="5">
        <v>31.21</v>
      </c>
      <c r="I131" s="102">
        <f>50/30*62</f>
        <v>103.33333333333334</v>
      </c>
      <c r="J131" s="40">
        <f>15*7</f>
        <v>105</v>
      </c>
      <c r="K131" s="40"/>
      <c r="L131" s="6">
        <v>210</v>
      </c>
      <c r="M131" s="6">
        <v>94</v>
      </c>
      <c r="N131" s="59">
        <f t="shared" si="3"/>
        <v>81.199999999999989</v>
      </c>
    </row>
    <row r="132" spans="1:14">
      <c r="A132" s="44" t="s">
        <v>402</v>
      </c>
      <c r="B132" s="44"/>
      <c r="C132" s="35"/>
      <c r="D132" s="35">
        <v>45637</v>
      </c>
      <c r="E132" s="35">
        <v>45698</v>
      </c>
      <c r="F132" s="40"/>
      <c r="G132" s="40"/>
      <c r="H132" s="5">
        <v>13.98</v>
      </c>
      <c r="I132" s="102">
        <f>45/30*59</f>
        <v>88.5</v>
      </c>
      <c r="J132" s="40">
        <v>30</v>
      </c>
      <c r="K132" s="40"/>
      <c r="L132" s="6">
        <v>120</v>
      </c>
      <c r="M132" s="6">
        <v>45</v>
      </c>
      <c r="N132" s="59">
        <f t="shared" si="3"/>
        <v>52.5</v>
      </c>
    </row>
    <row r="133" spans="1:14">
      <c r="A133" s="44" t="s">
        <v>392</v>
      </c>
      <c r="B133" s="44"/>
      <c r="C133" s="35"/>
      <c r="D133" s="35"/>
      <c r="E133" s="35">
        <v>45694</v>
      </c>
      <c r="F133" s="40"/>
      <c r="G133" s="40"/>
      <c r="H133" s="5">
        <v>31.89</v>
      </c>
      <c r="I133" s="102" t="s">
        <v>414</v>
      </c>
      <c r="J133" s="40">
        <v>75</v>
      </c>
      <c r="K133" s="40"/>
      <c r="L133" s="6">
        <v>145</v>
      </c>
      <c r="M133" s="6">
        <v>72</v>
      </c>
      <c r="N133" s="59">
        <f t="shared" si="3"/>
        <v>51.099999999999994</v>
      </c>
    </row>
    <row r="134" spans="1:14">
      <c r="A134" s="44" t="s">
        <v>413</v>
      </c>
      <c r="B134" s="44"/>
      <c r="C134" s="35"/>
      <c r="D134" s="35"/>
      <c r="E134" s="35">
        <v>45730</v>
      </c>
      <c r="F134" s="40"/>
      <c r="G134" s="40"/>
      <c r="H134" s="5">
        <v>15.34</v>
      </c>
      <c r="I134" s="102"/>
      <c r="J134" s="40"/>
      <c r="K134" s="40"/>
      <c r="L134" s="6">
        <v>80</v>
      </c>
      <c r="M134" s="6">
        <v>28</v>
      </c>
      <c r="N134" s="59">
        <f t="shared" si="3"/>
        <v>36.4</v>
      </c>
    </row>
    <row r="135" spans="1:14">
      <c r="A135" s="44" t="s">
        <v>418</v>
      </c>
      <c r="B135" s="44"/>
      <c r="C135" s="35"/>
      <c r="D135" s="35"/>
      <c r="E135" s="35">
        <v>45737</v>
      </c>
      <c r="F135" s="40"/>
      <c r="G135" s="40"/>
      <c r="H135" s="5">
        <v>32.17</v>
      </c>
      <c r="I135" s="102"/>
      <c r="J135" s="40">
        <v>90</v>
      </c>
      <c r="K135" s="40"/>
      <c r="L135" s="6">
        <v>150</v>
      </c>
      <c r="M135" s="6">
        <v>43</v>
      </c>
      <c r="N135" s="59">
        <f t="shared" si="3"/>
        <v>74.899999999999991</v>
      </c>
    </row>
    <row r="136" spans="1:14">
      <c r="A136" s="44" t="s">
        <v>417</v>
      </c>
      <c r="B136" s="44"/>
      <c r="C136" s="35"/>
      <c r="D136" s="35"/>
      <c r="E136" s="35">
        <v>45687</v>
      </c>
      <c r="F136" s="40"/>
      <c r="G136" s="40"/>
      <c r="H136" s="5"/>
      <c r="I136" s="102"/>
      <c r="J136" s="40">
        <v>40</v>
      </c>
      <c r="K136" s="40"/>
      <c r="L136" s="6">
        <v>59</v>
      </c>
      <c r="M136" s="6">
        <v>43</v>
      </c>
      <c r="N136" s="59">
        <f t="shared" si="3"/>
        <v>11.2</v>
      </c>
    </row>
    <row r="137" spans="1:14">
      <c r="A137" s="44" t="s">
        <v>423</v>
      </c>
      <c r="B137" s="44"/>
      <c r="C137" s="35"/>
      <c r="D137" s="35"/>
      <c r="E137" s="35">
        <v>45714</v>
      </c>
      <c r="F137" s="40"/>
      <c r="G137" s="40"/>
      <c r="H137" s="5"/>
      <c r="I137" s="102"/>
      <c r="J137" s="40"/>
      <c r="K137" s="40"/>
      <c r="L137" s="6">
        <v>50</v>
      </c>
      <c r="M137" s="6">
        <v>41</v>
      </c>
      <c r="N137" s="59">
        <f>(L137-M137)*0.7</f>
        <v>6.3</v>
      </c>
    </row>
    <row r="138" spans="1:14">
      <c r="A138" s="44" t="s">
        <v>424</v>
      </c>
      <c r="B138" s="44"/>
      <c r="C138" s="35"/>
      <c r="D138" s="35"/>
      <c r="E138" s="35">
        <v>45750</v>
      </c>
      <c r="F138" s="40"/>
      <c r="G138" s="40"/>
      <c r="H138" s="5">
        <v>15.34</v>
      </c>
      <c r="I138" s="102"/>
      <c r="J138" s="40">
        <v>30</v>
      </c>
      <c r="K138" s="40"/>
      <c r="L138" s="6">
        <v>45</v>
      </c>
      <c r="M138" s="6">
        <v>7</v>
      </c>
      <c r="N138" s="59">
        <f>(L138-M138)*0.7</f>
        <v>26.599999999999998</v>
      </c>
    </row>
    <row r="139" spans="1:14">
      <c r="A139" s="44" t="s">
        <v>425</v>
      </c>
      <c r="B139" s="44"/>
      <c r="C139" s="35"/>
      <c r="D139" s="35"/>
      <c r="E139" s="35">
        <v>45765</v>
      </c>
      <c r="F139" s="40"/>
      <c r="G139" s="40"/>
      <c r="H139" s="5">
        <v>14.54</v>
      </c>
      <c r="I139" s="102"/>
      <c r="J139" s="40"/>
      <c r="K139" s="40"/>
      <c r="L139" s="6">
        <v>220</v>
      </c>
      <c r="M139" s="6">
        <v>99</v>
      </c>
      <c r="N139" s="59">
        <f>(L139-M139)*0.7</f>
        <v>84.699999999999989</v>
      </c>
    </row>
    <row r="140" spans="1:14">
      <c r="A140" s="76"/>
      <c r="B140" s="76"/>
      <c r="C140" s="36"/>
      <c r="D140" s="36"/>
      <c r="E140" s="36"/>
      <c r="F140" s="71"/>
      <c r="G140" s="71"/>
      <c r="H140" s="16"/>
      <c r="I140" s="109"/>
      <c r="J140" s="71"/>
      <c r="K140" s="71"/>
      <c r="L140" s="17"/>
      <c r="M140" s="18"/>
      <c r="N140" s="70"/>
    </row>
    <row r="141" spans="1:14">
      <c r="C141" s="36"/>
      <c r="D141" s="36"/>
      <c r="F141" s="28"/>
      <c r="G141" s="28"/>
      <c r="H141" s="30"/>
      <c r="I141" s="30"/>
      <c r="M141" s="62" t="s">
        <v>4</v>
      </c>
      <c r="N141" s="18">
        <f>SUM(N2:N139)</f>
        <v>5119.9799999999977</v>
      </c>
    </row>
    <row r="142" spans="1:14">
      <c r="C142" s="36"/>
      <c r="D142" s="36"/>
      <c r="F142" s="28"/>
      <c r="G142" s="28"/>
      <c r="H142" s="30"/>
      <c r="I142" s="104"/>
      <c r="M142" s="61" t="s">
        <v>251</v>
      </c>
      <c r="N142" s="6">
        <f>N141+M153</f>
        <v>4835.5899999999974</v>
      </c>
    </row>
    <row r="143" spans="1:14">
      <c r="C143" s="36"/>
      <c r="D143" s="36"/>
      <c r="F143" s="28"/>
      <c r="G143" s="28"/>
      <c r="H143" s="30"/>
      <c r="I143" s="104"/>
    </row>
    <row r="145" spans="1:16">
      <c r="A145" s="28"/>
      <c r="B145" s="28"/>
      <c r="E145" s="15"/>
      <c r="F145" s="1"/>
      <c r="G145" s="1"/>
      <c r="H145" s="1"/>
      <c r="J145" s="1"/>
      <c r="K145" s="1"/>
      <c r="L145" s="1"/>
      <c r="M145" s="1"/>
      <c r="N145" s="29"/>
    </row>
    <row r="146" spans="1:16">
      <c r="K146" t="s">
        <v>434</v>
      </c>
      <c r="L146" s="1"/>
      <c r="M146" s="1"/>
    </row>
    <row r="147" spans="1:16">
      <c r="H147" s="30"/>
      <c r="K147" t="s">
        <v>435</v>
      </c>
      <c r="L147" s="1"/>
      <c r="M147">
        <f>-149*0.7</f>
        <v>-104.3</v>
      </c>
    </row>
    <row r="148" spans="1:16">
      <c r="K148" t="s">
        <v>436</v>
      </c>
      <c r="M148">
        <f>50*0.7</f>
        <v>35</v>
      </c>
      <c r="P148" s="42"/>
    </row>
    <row r="149" spans="1:16">
      <c r="K149" t="s">
        <v>437</v>
      </c>
      <c r="L149" s="1"/>
      <c r="M149" s="66">
        <v>-12.44</v>
      </c>
    </row>
    <row r="150" spans="1:16">
      <c r="L150" s="1"/>
      <c r="N150" s="108"/>
      <c r="P150" s="42"/>
    </row>
    <row r="151" spans="1:16">
      <c r="K151" t="s">
        <v>438</v>
      </c>
      <c r="L151" s="1"/>
      <c r="M151" s="66">
        <f>-32.9-65*0.7*2</f>
        <v>-123.9</v>
      </c>
    </row>
    <row r="152" spans="1:16">
      <c r="K152" t="s">
        <v>440</v>
      </c>
      <c r="L152" s="1"/>
      <c r="M152" s="66">
        <f>-15.75-45*0.7*2</f>
        <v>-78.75</v>
      </c>
      <c r="N152" s="1"/>
      <c r="P152" s="42"/>
    </row>
    <row r="153" spans="1:16">
      <c r="L153" s="1"/>
      <c r="M153" s="66">
        <f>SUM(M147:M152)</f>
        <v>-284.39</v>
      </c>
    </row>
    <row r="154" spans="1:16">
      <c r="L154" s="1"/>
    </row>
  </sheetData>
  <autoFilter ref="A1:P142">
    <sortState ref="A2:P90">
      <sortCondition ref="B1:B90"/>
    </sortState>
  </autoFilter>
  <pageMargins left="0.7" right="0.7" top="0.75" bottom="0.75" header="0.3" footer="0.3"/>
  <pageSetup paperSize="9" orientation="portrait" r:id="rId1"/>
</worksheet>
</file>

<file path=xl/worksheets/sheet99.xml><?xml version="1.0" encoding="utf-8"?>
<worksheet xmlns="http://schemas.openxmlformats.org/spreadsheetml/2006/main" xmlns:r="http://schemas.openxmlformats.org/officeDocument/2006/relationships">
  <dimension ref="A1:P153"/>
  <sheetViews>
    <sheetView topLeftCell="B138" workbookViewId="0">
      <selection activeCell="K149" sqref="K149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1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26</v>
      </c>
      <c r="B9" s="2"/>
      <c r="C9" s="4">
        <v>42633</v>
      </c>
      <c r="D9" s="4"/>
      <c r="E9" s="4">
        <v>42644</v>
      </c>
      <c r="F9" s="5"/>
      <c r="G9" s="49"/>
      <c r="H9" s="5">
        <v>8.17</v>
      </c>
      <c r="I9" s="102">
        <f>25/30*10</f>
        <v>8.3333333333333339</v>
      </c>
      <c r="J9" s="5"/>
      <c r="K9" s="5"/>
      <c r="L9" s="6">
        <v>70</v>
      </c>
      <c r="M9" s="61">
        <v>25</v>
      </c>
      <c r="N9" s="6">
        <f t="shared" si="0"/>
        <v>31.499999999999996</v>
      </c>
    </row>
    <row r="10" spans="1:15">
      <c r="A10" s="2" t="s">
        <v>27</v>
      </c>
      <c r="B10" s="2"/>
      <c r="C10" s="4">
        <v>42656</v>
      </c>
      <c r="D10" s="4"/>
      <c r="E10" s="4">
        <v>42705</v>
      </c>
      <c r="F10" s="5"/>
      <c r="G10" s="49"/>
      <c r="H10" s="5">
        <v>8.17</v>
      </c>
      <c r="I10" s="102">
        <f>M10/30*47</f>
        <v>39.166666666666671</v>
      </c>
      <c r="J10" s="5"/>
      <c r="K10" s="5"/>
      <c r="L10" s="6">
        <v>40</v>
      </c>
      <c r="M10" s="62">
        <v>25</v>
      </c>
      <c r="N10" s="18">
        <f t="shared" si="0"/>
        <v>10.5</v>
      </c>
    </row>
    <row r="11" spans="1:15">
      <c r="A11" s="2" t="s">
        <v>29</v>
      </c>
      <c r="B11" s="2"/>
      <c r="C11" s="4">
        <v>42683</v>
      </c>
      <c r="D11" s="4"/>
      <c r="E11" s="4">
        <v>42718</v>
      </c>
      <c r="F11" s="5"/>
      <c r="G11" s="49"/>
      <c r="H11" s="5">
        <v>8.9700000000000006</v>
      </c>
      <c r="I11" s="102">
        <f>M11/30*35</f>
        <v>42</v>
      </c>
      <c r="J11" s="5"/>
      <c r="K11" s="5"/>
      <c r="L11" s="6">
        <f>105</f>
        <v>105</v>
      </c>
      <c r="M11" s="62">
        <v>36</v>
      </c>
      <c r="N11" s="18">
        <f t="shared" si="0"/>
        <v>48.3</v>
      </c>
    </row>
    <row r="12" spans="1:15">
      <c r="A12" s="2" t="s">
        <v>28</v>
      </c>
      <c r="B12" s="2"/>
      <c r="C12" s="4">
        <v>42711</v>
      </c>
      <c r="D12" s="4"/>
      <c r="E12" s="4">
        <v>42734</v>
      </c>
      <c r="F12" s="5"/>
      <c r="G12" s="49"/>
      <c r="H12" s="5">
        <v>8.17</v>
      </c>
      <c r="I12" s="102">
        <f>M12/30*23</f>
        <v>19.166666666666668</v>
      </c>
      <c r="J12" s="5"/>
      <c r="K12" s="5"/>
      <c r="L12" s="6">
        <v>40</v>
      </c>
      <c r="M12" s="62">
        <v>25</v>
      </c>
      <c r="N12" s="18">
        <f t="shared" si="0"/>
        <v>10.5</v>
      </c>
    </row>
    <row r="13" spans="1:15">
      <c r="A13" s="2" t="s">
        <v>31</v>
      </c>
      <c r="B13" s="2"/>
      <c r="C13" s="4">
        <v>42735</v>
      </c>
      <c r="D13" s="4"/>
      <c r="E13" s="4">
        <v>42782</v>
      </c>
      <c r="F13" s="5">
        <v>50</v>
      </c>
      <c r="G13" s="49"/>
      <c r="H13" s="5">
        <v>20.63</v>
      </c>
      <c r="I13" s="102">
        <f>M13/30*46</f>
        <v>42.933333333333337</v>
      </c>
      <c r="J13" s="5"/>
      <c r="K13" s="5"/>
      <c r="L13" s="6">
        <v>92</v>
      </c>
      <c r="M13" s="61">
        <v>28</v>
      </c>
      <c r="N13" s="6">
        <f t="shared" si="0"/>
        <v>44.8</v>
      </c>
    </row>
    <row r="14" spans="1:15">
      <c r="A14" s="2" t="s">
        <v>32</v>
      </c>
      <c r="B14" s="2"/>
      <c r="C14" s="4">
        <v>42857</v>
      </c>
      <c r="D14" s="4"/>
      <c r="E14" s="4">
        <v>42866</v>
      </c>
      <c r="F14" s="5"/>
      <c r="G14" s="49"/>
      <c r="H14" s="5"/>
      <c r="I14" s="102">
        <f>23/30*9</f>
        <v>6.9</v>
      </c>
      <c r="J14" s="5">
        <f>60*0.7</f>
        <v>42</v>
      </c>
      <c r="K14" s="5"/>
      <c r="L14" s="6">
        <v>60</v>
      </c>
      <c r="M14" s="61">
        <v>23</v>
      </c>
      <c r="N14" s="6">
        <f t="shared" si="0"/>
        <v>25.9</v>
      </c>
    </row>
    <row r="15" spans="1:15">
      <c r="A15" s="2" t="s">
        <v>37</v>
      </c>
      <c r="B15" s="2"/>
      <c r="C15" s="4">
        <v>42891</v>
      </c>
      <c r="D15" s="4"/>
      <c r="E15" s="4">
        <v>42915</v>
      </c>
      <c r="F15" s="5"/>
      <c r="G15" s="49"/>
      <c r="H15" s="5">
        <v>6.83</v>
      </c>
      <c r="I15" s="102">
        <f>24/30*24</f>
        <v>19.200000000000003</v>
      </c>
      <c r="J15" s="5"/>
      <c r="K15" s="5"/>
      <c r="L15" s="6">
        <f>69+70</f>
        <v>139</v>
      </c>
      <c r="M15" s="61">
        <f>38+7+18</f>
        <v>63</v>
      </c>
      <c r="N15" s="6">
        <f t="shared" si="0"/>
        <v>53.199999999999996</v>
      </c>
    </row>
    <row r="16" spans="1:15">
      <c r="A16" s="2" t="s">
        <v>39</v>
      </c>
      <c r="B16" s="2"/>
      <c r="C16" s="4">
        <v>43081</v>
      </c>
      <c r="D16" s="4"/>
      <c r="E16" s="4">
        <v>43109</v>
      </c>
      <c r="F16" s="5"/>
      <c r="G16" s="49"/>
      <c r="H16" s="5">
        <v>9.83</v>
      </c>
      <c r="I16" s="102">
        <f>36/30*28</f>
        <v>33.6</v>
      </c>
      <c r="J16" s="5"/>
      <c r="K16" s="5"/>
      <c r="L16" s="6">
        <v>120</v>
      </c>
      <c r="M16" s="61">
        <v>36</v>
      </c>
      <c r="N16" s="6">
        <f t="shared" si="0"/>
        <v>58.8</v>
      </c>
    </row>
    <row r="17" spans="1:15">
      <c r="A17" s="22" t="s">
        <v>56</v>
      </c>
      <c r="B17" s="22"/>
      <c r="C17" s="4">
        <v>43361</v>
      </c>
      <c r="D17" s="4"/>
      <c r="E17" s="4">
        <v>43132</v>
      </c>
      <c r="F17" s="5"/>
      <c r="G17" s="49"/>
      <c r="H17" s="5">
        <v>14.11</v>
      </c>
      <c r="I17" s="102">
        <f>25*4+25/30*12</f>
        <v>110</v>
      </c>
      <c r="J17" s="5"/>
      <c r="K17" s="5"/>
      <c r="L17" s="6">
        <v>75</v>
      </c>
      <c r="M17" s="61">
        <v>25</v>
      </c>
      <c r="N17" s="6">
        <f t="shared" si="0"/>
        <v>35</v>
      </c>
    </row>
    <row r="18" spans="1:15">
      <c r="A18" s="2" t="s">
        <v>44</v>
      </c>
      <c r="B18" s="2"/>
      <c r="C18" s="4">
        <v>43196</v>
      </c>
      <c r="D18" s="4"/>
      <c r="E18" s="4">
        <v>43250</v>
      </c>
      <c r="F18" s="5"/>
      <c r="G18" s="49"/>
      <c r="H18" s="5">
        <v>13.78</v>
      </c>
      <c r="I18" s="102">
        <f>25*24/30+25</f>
        <v>45</v>
      </c>
      <c r="J18" s="5"/>
      <c r="K18" s="5"/>
      <c r="L18" s="6">
        <v>11</v>
      </c>
      <c r="M18" s="61">
        <v>25</v>
      </c>
      <c r="N18" s="6">
        <v>9.7999999999999989</v>
      </c>
    </row>
    <row r="19" spans="1:15">
      <c r="A19" s="22" t="s">
        <v>47</v>
      </c>
      <c r="B19" s="22"/>
      <c r="C19" s="4">
        <v>43355</v>
      </c>
      <c r="D19" s="4"/>
      <c r="E19" s="4">
        <v>43277</v>
      </c>
      <c r="F19" s="5"/>
      <c r="G19" s="49"/>
      <c r="H19" s="5">
        <v>19.98</v>
      </c>
      <c r="I19" s="102">
        <f>36*2+36/30*16</f>
        <v>91.2</v>
      </c>
      <c r="J19" s="5"/>
      <c r="K19" s="5"/>
      <c r="L19" s="6">
        <v>105</v>
      </c>
      <c r="M19" s="61">
        <v>36</v>
      </c>
      <c r="N19" s="6">
        <f t="shared" si="0"/>
        <v>48.3</v>
      </c>
    </row>
    <row r="20" spans="1:15">
      <c r="A20" s="22" t="s">
        <v>48</v>
      </c>
      <c r="B20" s="22"/>
      <c r="C20" s="4">
        <v>43367</v>
      </c>
      <c r="D20" s="4"/>
      <c r="E20" s="4">
        <v>43284</v>
      </c>
      <c r="F20" s="5"/>
      <c r="G20" s="49"/>
      <c r="H20" s="5">
        <v>9.1</v>
      </c>
      <c r="I20" s="102">
        <f>25+25/30*27</f>
        <v>47.5</v>
      </c>
      <c r="J20" s="5"/>
      <c r="K20" s="5"/>
      <c r="L20" s="6">
        <v>75</v>
      </c>
      <c r="M20" s="61">
        <v>25</v>
      </c>
      <c r="N20" s="6">
        <f t="shared" si="0"/>
        <v>35</v>
      </c>
    </row>
    <row r="21" spans="1:15">
      <c r="A21" s="2" t="s">
        <v>45</v>
      </c>
      <c r="B21" s="2"/>
      <c r="C21" s="4"/>
      <c r="D21" s="4"/>
      <c r="E21" s="4">
        <v>43286</v>
      </c>
      <c r="F21" s="5"/>
      <c r="G21" s="49"/>
      <c r="H21" s="5">
        <v>11.56</v>
      </c>
      <c r="I21" s="102"/>
      <c r="J21" s="5"/>
      <c r="K21" s="5"/>
      <c r="L21" s="6">
        <v>150</v>
      </c>
      <c r="M21" s="61">
        <v>76</v>
      </c>
      <c r="N21" s="6">
        <f t="shared" si="0"/>
        <v>51.8</v>
      </c>
      <c r="O21" s="20"/>
    </row>
    <row r="22" spans="1:15">
      <c r="A22" s="22" t="s">
        <v>49</v>
      </c>
      <c r="B22" s="22"/>
      <c r="C22" s="4">
        <v>43367</v>
      </c>
      <c r="D22" s="4"/>
      <c r="E22" s="4">
        <v>43291</v>
      </c>
      <c r="F22" s="5"/>
      <c r="G22" s="49"/>
      <c r="H22" s="5">
        <v>10.039999999999999</v>
      </c>
      <c r="I22" s="102">
        <f>50+25/30*14</f>
        <v>61.666666666666671</v>
      </c>
      <c r="J22" s="5"/>
      <c r="K22" s="5"/>
      <c r="L22" s="6">
        <v>50</v>
      </c>
      <c r="M22" s="61">
        <v>22</v>
      </c>
      <c r="N22" s="18">
        <f t="shared" si="0"/>
        <v>19.599999999999998</v>
      </c>
    </row>
    <row r="23" spans="1:15">
      <c r="A23" s="22" t="s">
        <v>51</v>
      </c>
      <c r="B23" s="22"/>
      <c r="C23" s="4">
        <v>43358</v>
      </c>
      <c r="D23" s="4"/>
      <c r="E23" s="4">
        <v>43291</v>
      </c>
      <c r="F23" s="5"/>
      <c r="G23" s="49"/>
      <c r="H23" s="5">
        <v>10.039999999999999</v>
      </c>
      <c r="I23" s="102">
        <f>50+25/30*5</f>
        <v>54.166666666666664</v>
      </c>
      <c r="J23" s="5"/>
      <c r="K23" s="5"/>
      <c r="L23" s="6">
        <v>75</v>
      </c>
      <c r="M23" s="61">
        <v>25</v>
      </c>
      <c r="N23" s="6">
        <f t="shared" si="0"/>
        <v>35</v>
      </c>
    </row>
    <row r="24" spans="1:15">
      <c r="A24" s="22" t="s">
        <v>52</v>
      </c>
      <c r="B24" s="22"/>
      <c r="C24" s="4">
        <v>43367</v>
      </c>
      <c r="D24" s="4"/>
      <c r="E24" s="4">
        <v>43308</v>
      </c>
      <c r="F24" s="5"/>
      <c r="G24" s="49"/>
      <c r="H24" s="5">
        <v>10.86</v>
      </c>
      <c r="I24" s="102">
        <f>25+25/30*27</f>
        <v>47.5</v>
      </c>
      <c r="J24" s="5"/>
      <c r="K24" s="5"/>
      <c r="L24" s="6">
        <v>75</v>
      </c>
      <c r="M24" s="61">
        <v>25</v>
      </c>
      <c r="N24" s="27">
        <f t="shared" si="0"/>
        <v>35</v>
      </c>
    </row>
    <row r="25" spans="1:15">
      <c r="A25" s="22" t="s">
        <v>50</v>
      </c>
      <c r="B25" s="22"/>
      <c r="C25" s="4">
        <v>43367</v>
      </c>
      <c r="D25" s="4"/>
      <c r="E25" s="4">
        <v>43312</v>
      </c>
      <c r="F25" s="5"/>
      <c r="G25" s="49"/>
      <c r="H25" s="5">
        <v>10.86</v>
      </c>
      <c r="I25" s="102">
        <f>25+25/30*24</f>
        <v>45</v>
      </c>
      <c r="J25" s="5"/>
      <c r="K25" s="5"/>
      <c r="L25" s="6">
        <v>70</v>
      </c>
      <c r="M25" s="61">
        <v>25</v>
      </c>
      <c r="N25" s="6">
        <f t="shared" si="0"/>
        <v>31.499999999999996</v>
      </c>
    </row>
    <row r="26" spans="1:15">
      <c r="A26" s="22" t="s">
        <v>55</v>
      </c>
      <c r="B26" s="22"/>
      <c r="C26" s="4">
        <v>43363</v>
      </c>
      <c r="D26" s="4"/>
      <c r="E26" s="4">
        <v>43440</v>
      </c>
      <c r="F26" s="5"/>
      <c r="G26" s="49"/>
      <c r="H26" s="5">
        <v>14.11</v>
      </c>
      <c r="I26" s="102">
        <f>25*2+25*16/30</f>
        <v>63.333333333333336</v>
      </c>
      <c r="J26" s="5"/>
      <c r="K26" s="5"/>
      <c r="L26" s="6">
        <v>75</v>
      </c>
      <c r="M26" s="61">
        <v>25</v>
      </c>
      <c r="N26" s="6">
        <f t="shared" si="0"/>
        <v>35</v>
      </c>
    </row>
    <row r="27" spans="1:15">
      <c r="A27" s="22" t="s">
        <v>54</v>
      </c>
      <c r="B27" s="22"/>
      <c r="C27" s="4">
        <v>43167</v>
      </c>
      <c r="D27" s="4"/>
      <c r="E27" s="4">
        <v>43455</v>
      </c>
      <c r="F27" s="5"/>
      <c r="G27" s="49"/>
      <c r="H27" s="5">
        <v>10.86</v>
      </c>
      <c r="I27" s="102">
        <f>9*25+25*13/30</f>
        <v>235.83333333333334</v>
      </c>
      <c r="J27" s="5"/>
      <c r="K27" s="5"/>
      <c r="L27" s="6">
        <v>90</v>
      </c>
      <c r="M27" s="61">
        <v>36</v>
      </c>
      <c r="N27" s="6">
        <f t="shared" si="0"/>
        <v>37.799999999999997</v>
      </c>
    </row>
    <row r="28" spans="1:15">
      <c r="A28" s="22" t="s">
        <v>57</v>
      </c>
      <c r="B28" s="55"/>
      <c r="C28" s="31">
        <v>43478</v>
      </c>
      <c r="D28" s="31"/>
      <c r="E28" s="4">
        <v>43536</v>
      </c>
      <c r="F28" s="5"/>
      <c r="G28" s="49"/>
      <c r="H28" s="5">
        <v>10.86</v>
      </c>
      <c r="I28" s="102">
        <v>25</v>
      </c>
      <c r="J28" s="5"/>
      <c r="K28" s="5"/>
      <c r="L28" s="6">
        <v>70</v>
      </c>
      <c r="M28" s="61">
        <v>25</v>
      </c>
      <c r="N28" s="6">
        <f t="shared" si="0"/>
        <v>31.499999999999996</v>
      </c>
    </row>
    <row r="29" spans="1:15">
      <c r="A29" s="22" t="s">
        <v>59</v>
      </c>
      <c r="B29" s="22"/>
      <c r="C29" s="4">
        <v>43528</v>
      </c>
      <c r="D29" s="4"/>
      <c r="E29" s="4">
        <v>43538</v>
      </c>
      <c r="F29" s="5"/>
      <c r="G29" s="49"/>
      <c r="H29" s="5">
        <v>14.92</v>
      </c>
      <c r="I29" s="102">
        <f>77/30*10</f>
        <v>25.666666666666668</v>
      </c>
      <c r="J29" s="5"/>
      <c r="K29" s="5"/>
      <c r="L29" s="6">
        <v>169</v>
      </c>
      <c r="M29" s="61">
        <f>64+11+2</f>
        <v>77</v>
      </c>
      <c r="N29" s="6">
        <f t="shared" si="0"/>
        <v>64.399999999999991</v>
      </c>
    </row>
    <row r="30" spans="1:15">
      <c r="A30" s="22" t="s">
        <v>58</v>
      </c>
      <c r="B30" s="22"/>
      <c r="C30" s="4">
        <v>43534</v>
      </c>
      <c r="D30" s="4"/>
      <c r="E30" s="4">
        <v>43542</v>
      </c>
      <c r="F30" s="5"/>
      <c r="G30" s="49"/>
      <c r="H30" s="5">
        <f>10.86*2</f>
        <v>21.72</v>
      </c>
      <c r="I30" s="102">
        <v>0</v>
      </c>
      <c r="J30" s="5"/>
      <c r="K30" s="5"/>
      <c r="L30" s="6">
        <v>30</v>
      </c>
      <c r="M30" s="61">
        <v>22</v>
      </c>
      <c r="N30" s="6">
        <v>18.899999999999999</v>
      </c>
    </row>
    <row r="31" spans="1:15">
      <c r="A31" s="22" t="s">
        <v>61</v>
      </c>
      <c r="B31" s="22"/>
      <c r="C31" s="4">
        <v>43482</v>
      </c>
      <c r="D31" s="4"/>
      <c r="E31" s="4">
        <v>43542</v>
      </c>
      <c r="F31" s="5"/>
      <c r="G31" s="49"/>
      <c r="H31" s="5">
        <v>11.1</v>
      </c>
      <c r="I31" s="102">
        <f>25*2</f>
        <v>50</v>
      </c>
      <c r="J31" s="5"/>
      <c r="K31" s="5"/>
      <c r="L31" s="6">
        <v>70</v>
      </c>
      <c r="M31" s="61">
        <v>26</v>
      </c>
      <c r="N31" s="6">
        <f t="shared" si="0"/>
        <v>30.799999999999997</v>
      </c>
    </row>
    <row r="32" spans="1:15">
      <c r="A32" s="22" t="s">
        <v>67</v>
      </c>
      <c r="B32" s="22"/>
      <c r="C32" s="4">
        <v>43600</v>
      </c>
      <c r="D32" s="4"/>
      <c r="E32" s="4">
        <v>43629</v>
      </c>
      <c r="F32" s="5"/>
      <c r="G32" s="49"/>
      <c r="H32" s="5">
        <f>10.86*2</f>
        <v>21.72</v>
      </c>
      <c r="I32" s="102">
        <f>22/30*58</f>
        <v>42.533333333333331</v>
      </c>
      <c r="J32" s="5">
        <v>50</v>
      </c>
      <c r="K32" s="5">
        <f>H32+I32+J32</f>
        <v>114.25333333333333</v>
      </c>
      <c r="L32" s="6">
        <v>60</v>
      </c>
      <c r="M32" s="61">
        <v>25</v>
      </c>
      <c r="N32" s="6">
        <v>0</v>
      </c>
    </row>
    <row r="33" spans="1:16">
      <c r="A33" s="22" t="s">
        <v>66</v>
      </c>
      <c r="B33" s="22"/>
      <c r="C33" s="4">
        <v>43600</v>
      </c>
      <c r="D33" s="4"/>
      <c r="E33" s="4">
        <v>43629</v>
      </c>
      <c r="F33" s="5"/>
      <c r="G33" s="49"/>
      <c r="H33" s="5">
        <f>10.86</f>
        <v>10.86</v>
      </c>
      <c r="I33" s="102">
        <f>39/30*58</f>
        <v>75.400000000000006</v>
      </c>
      <c r="J33" s="5"/>
      <c r="K33" s="5">
        <f>H33+I33</f>
        <v>86.26</v>
      </c>
      <c r="L33" s="6">
        <v>110</v>
      </c>
      <c r="M33" s="61">
        <f>25+11+3</f>
        <v>39</v>
      </c>
      <c r="N33" s="6">
        <v>0</v>
      </c>
      <c r="O33" t="s">
        <v>73</v>
      </c>
    </row>
    <row r="34" spans="1:16">
      <c r="A34" s="22" t="s">
        <v>64</v>
      </c>
      <c r="B34" s="22"/>
      <c r="C34" s="4">
        <v>43627</v>
      </c>
      <c r="D34" s="4"/>
      <c r="E34" s="4">
        <v>43629</v>
      </c>
      <c r="F34" s="5"/>
      <c r="G34" s="49"/>
      <c r="H34" s="5">
        <v>10.86</v>
      </c>
      <c r="I34" s="102">
        <f>25/30*2</f>
        <v>1.6666666666666667</v>
      </c>
      <c r="J34" s="5"/>
      <c r="K34" s="5">
        <f>H34+I34</f>
        <v>12.526666666666666</v>
      </c>
      <c r="L34" s="6">
        <v>200</v>
      </c>
      <c r="M34" s="61">
        <v>11</v>
      </c>
      <c r="N34" s="5">
        <f t="shared" ref="N34:N45" si="1">(L34-M34)*0.7</f>
        <v>132.29999999999998</v>
      </c>
    </row>
    <row r="35" spans="1:16">
      <c r="A35" s="22" t="s">
        <v>65</v>
      </c>
      <c r="B35" s="22"/>
      <c r="C35" s="4">
        <v>43622</v>
      </c>
      <c r="D35" s="4"/>
      <c r="E35" s="4">
        <v>43650</v>
      </c>
      <c r="F35" s="5"/>
      <c r="G35" s="49"/>
      <c r="H35" s="5">
        <v>10.86</v>
      </c>
      <c r="I35" s="102"/>
      <c r="J35" s="5"/>
      <c r="K35" s="5"/>
      <c r="L35" s="6">
        <v>120</v>
      </c>
      <c r="M35" s="61">
        <v>60</v>
      </c>
      <c r="N35" s="6">
        <f t="shared" si="1"/>
        <v>42</v>
      </c>
    </row>
    <row r="36" spans="1:16">
      <c r="A36" s="22" t="s">
        <v>71</v>
      </c>
      <c r="B36" s="22"/>
      <c r="C36" s="4">
        <v>43635</v>
      </c>
      <c r="D36" s="4"/>
      <c r="E36" s="4">
        <v>43662</v>
      </c>
      <c r="F36" s="5"/>
      <c r="G36" s="49"/>
      <c r="H36" s="5">
        <f>10.86*2</f>
        <v>21.72</v>
      </c>
      <c r="I36" s="102"/>
      <c r="J36" s="5"/>
      <c r="K36" s="5"/>
      <c r="L36" s="6">
        <v>70</v>
      </c>
      <c r="M36" s="61">
        <v>26</v>
      </c>
      <c r="N36" s="6">
        <f t="shared" si="1"/>
        <v>30.799999999999997</v>
      </c>
      <c r="O36" t="s">
        <v>72</v>
      </c>
    </row>
    <row r="37" spans="1:16">
      <c r="A37" s="2" t="s">
        <v>75</v>
      </c>
      <c r="B37" s="2"/>
      <c r="C37" s="4">
        <v>43656</v>
      </c>
      <c r="D37" s="4"/>
      <c r="E37" s="4">
        <v>43711</v>
      </c>
      <c r="F37" s="5"/>
      <c r="G37" s="49"/>
      <c r="H37" s="5">
        <v>10.86</v>
      </c>
      <c r="I37" s="102">
        <f>36/30*48</f>
        <v>57.599999999999994</v>
      </c>
      <c r="J37" s="5"/>
      <c r="K37" s="5"/>
      <c r="L37" s="6">
        <v>145</v>
      </c>
      <c r="M37" s="61">
        <f>36+18</f>
        <v>54</v>
      </c>
      <c r="N37" s="6">
        <f t="shared" si="1"/>
        <v>63.699999999999996</v>
      </c>
    </row>
    <row r="38" spans="1:16">
      <c r="A38" s="2" t="s">
        <v>76</v>
      </c>
      <c r="B38" s="2"/>
      <c r="C38" s="4">
        <v>43677</v>
      </c>
      <c r="D38" s="4"/>
      <c r="E38" s="4">
        <v>43713</v>
      </c>
      <c r="F38" s="5"/>
      <c r="G38" s="49"/>
      <c r="H38" s="5">
        <v>24.06</v>
      </c>
      <c r="I38" s="102">
        <f>80/30*35</f>
        <v>93.333333333333329</v>
      </c>
      <c r="J38" s="5">
        <v>40</v>
      </c>
      <c r="K38" s="5"/>
      <c r="L38" s="6">
        <v>149</v>
      </c>
      <c r="M38" s="61">
        <v>80</v>
      </c>
      <c r="N38" s="6">
        <f t="shared" si="1"/>
        <v>48.3</v>
      </c>
      <c r="O38" t="s">
        <v>79</v>
      </c>
    </row>
    <row r="39" spans="1:16">
      <c r="A39" s="10" t="s">
        <v>81</v>
      </c>
      <c r="B39" s="10"/>
      <c r="C39" s="11">
        <v>45444</v>
      </c>
      <c r="D39" s="11"/>
      <c r="E39" s="11">
        <v>45408</v>
      </c>
      <c r="F39" s="12"/>
      <c r="G39" s="12"/>
      <c r="H39" s="12"/>
      <c r="I39" s="106">
        <f>43/30*34</f>
        <v>48.733333333333334</v>
      </c>
      <c r="J39" s="12"/>
      <c r="K39" s="12"/>
      <c r="L39" s="12">
        <v>129</v>
      </c>
      <c r="M39" s="107">
        <v>61</v>
      </c>
      <c r="N39" s="12">
        <f t="shared" si="1"/>
        <v>47.599999999999994</v>
      </c>
    </row>
    <row r="40" spans="1:16">
      <c r="A40" s="22" t="s">
        <v>87</v>
      </c>
      <c r="B40" s="22"/>
      <c r="C40" s="35">
        <v>43878</v>
      </c>
      <c r="D40" s="35"/>
      <c r="E40" s="35">
        <v>43892</v>
      </c>
      <c r="F40" s="5"/>
      <c r="G40" s="49"/>
      <c r="H40" s="5">
        <v>12.19</v>
      </c>
      <c r="I40" s="102">
        <v>5.5</v>
      </c>
      <c r="J40" s="5"/>
      <c r="K40" s="5"/>
      <c r="L40" s="6">
        <v>25</v>
      </c>
      <c r="M40" s="61">
        <v>11</v>
      </c>
      <c r="N40" s="6">
        <f t="shared" si="1"/>
        <v>9.7999999999999989</v>
      </c>
    </row>
    <row r="41" spans="1:16">
      <c r="A41" s="22" t="s">
        <v>89</v>
      </c>
      <c r="B41" s="22"/>
      <c r="C41" s="35">
        <v>43908</v>
      </c>
      <c r="D41" s="35"/>
      <c r="E41" s="35">
        <v>43893</v>
      </c>
      <c r="F41" s="5"/>
      <c r="G41" s="49"/>
      <c r="H41" s="5">
        <v>9.6</v>
      </c>
      <c r="I41" s="102"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22" t="s">
        <v>85</v>
      </c>
      <c r="B42" s="22"/>
      <c r="C42" s="35">
        <v>43881</v>
      </c>
      <c r="D42" s="35"/>
      <c r="E42" s="35">
        <v>43895</v>
      </c>
      <c r="F42" s="5"/>
      <c r="G42" s="49"/>
      <c r="H42" s="5">
        <v>9.14</v>
      </c>
      <c r="I42" s="102">
        <f>11/30*15</f>
        <v>5.5</v>
      </c>
      <c r="J42" s="5"/>
      <c r="K42" s="5"/>
      <c r="L42" s="6">
        <v>25</v>
      </c>
      <c r="M42" s="61">
        <v>11</v>
      </c>
      <c r="N42" s="6">
        <f t="shared" si="1"/>
        <v>9.7999999999999989</v>
      </c>
    </row>
    <row r="43" spans="1:16">
      <c r="A43" s="39" t="s">
        <v>82</v>
      </c>
      <c r="B43" s="28"/>
      <c r="C43" s="36">
        <v>40235</v>
      </c>
      <c r="D43" s="36"/>
      <c r="E43" s="36">
        <v>43901</v>
      </c>
      <c r="F43" s="5"/>
      <c r="G43" s="34"/>
      <c r="H43" s="37">
        <v>9.6</v>
      </c>
      <c r="I43" s="102">
        <f>11/2</f>
        <v>5.5</v>
      </c>
      <c r="J43" s="5"/>
      <c r="K43" s="5"/>
      <c r="L43" s="17">
        <v>25</v>
      </c>
      <c r="M43" s="63">
        <v>11</v>
      </c>
      <c r="N43" s="26">
        <f t="shared" si="1"/>
        <v>9.7999999999999989</v>
      </c>
    </row>
    <row r="44" spans="1:16">
      <c r="A44" s="22" t="s">
        <v>80</v>
      </c>
      <c r="B44" s="22"/>
      <c r="C44" s="35">
        <v>43873</v>
      </c>
      <c r="D44" s="35"/>
      <c r="E44" s="35">
        <v>43910</v>
      </c>
      <c r="F44" s="5"/>
      <c r="G44" s="49"/>
      <c r="H44" s="5">
        <v>21.84</v>
      </c>
      <c r="I44" s="102">
        <f>56/30*38</f>
        <v>70.933333333333337</v>
      </c>
      <c r="J44" s="5"/>
      <c r="K44" s="5"/>
      <c r="L44" s="6">
        <v>120</v>
      </c>
      <c r="M44" s="61">
        <v>56</v>
      </c>
      <c r="N44" s="6">
        <f t="shared" si="1"/>
        <v>44.8</v>
      </c>
    </row>
    <row r="45" spans="1:16">
      <c r="A45" s="22" t="s">
        <v>88</v>
      </c>
      <c r="B45" s="22"/>
      <c r="C45" s="35">
        <v>43855</v>
      </c>
      <c r="D45" s="35"/>
      <c r="E45" s="35">
        <v>43941</v>
      </c>
      <c r="F45" s="5"/>
      <c r="G45" s="49"/>
      <c r="H45" s="5">
        <v>13.93</v>
      </c>
      <c r="I45" s="102">
        <f>56/30*85</f>
        <v>158.66666666666666</v>
      </c>
      <c r="J45" s="5"/>
      <c r="K45" s="5"/>
      <c r="L45" s="6">
        <v>110</v>
      </c>
      <c r="M45" s="61">
        <v>56</v>
      </c>
      <c r="N45" s="6">
        <f t="shared" si="1"/>
        <v>37.799999999999997</v>
      </c>
    </row>
    <row r="46" spans="1:16">
      <c r="A46" s="22" t="s">
        <v>90</v>
      </c>
      <c r="B46" s="22"/>
      <c r="C46" s="35" t="s">
        <v>96</v>
      </c>
      <c r="D46" s="35"/>
      <c r="E46" s="35">
        <v>44015</v>
      </c>
      <c r="F46" s="5" t="s">
        <v>160</v>
      </c>
      <c r="G46" s="49">
        <v>12.5</v>
      </c>
      <c r="H46" s="5">
        <v>11.29</v>
      </c>
      <c r="I46" s="102">
        <f>100</f>
        <v>100</v>
      </c>
      <c r="J46" s="5"/>
      <c r="K46" s="5"/>
      <c r="L46" s="6">
        <v>105</v>
      </c>
      <c r="M46" s="61">
        <f>25+11+22</f>
        <v>58</v>
      </c>
      <c r="N46" s="6">
        <f>12.5+(92.5-M46)*0.7</f>
        <v>36.65</v>
      </c>
      <c r="P46" s="41"/>
    </row>
    <row r="47" spans="1:16">
      <c r="A47" s="22" t="s">
        <v>97</v>
      </c>
      <c r="B47" s="22"/>
      <c r="C47" s="35">
        <v>43990</v>
      </c>
      <c r="D47" s="35"/>
      <c r="E47" s="35">
        <v>44036</v>
      </c>
      <c r="F47" s="5"/>
      <c r="G47" s="49"/>
      <c r="H47" s="5">
        <v>8.75</v>
      </c>
      <c r="I47" s="102">
        <f>56/30*46</f>
        <v>85.866666666666674</v>
      </c>
      <c r="J47" s="5"/>
      <c r="K47" s="5"/>
      <c r="L47" s="6">
        <v>110</v>
      </c>
      <c r="M47" s="61">
        <f>45+11</f>
        <v>56</v>
      </c>
      <c r="N47" s="6">
        <f>(L47-M47)*0.7</f>
        <v>37.799999999999997</v>
      </c>
    </row>
    <row r="48" spans="1:16">
      <c r="A48" s="22" t="s">
        <v>95</v>
      </c>
      <c r="B48" s="22"/>
      <c r="C48" s="35">
        <v>44028</v>
      </c>
      <c r="D48" s="35"/>
      <c r="E48" s="35">
        <v>44040</v>
      </c>
      <c r="F48" s="5"/>
      <c r="G48" s="49"/>
      <c r="H48" s="5">
        <v>8.75</v>
      </c>
      <c r="I48" s="102">
        <f>41/30*12</f>
        <v>16.399999999999999</v>
      </c>
      <c r="J48" s="5"/>
      <c r="K48" s="5"/>
      <c r="L48" s="6">
        <v>60</v>
      </c>
      <c r="M48" s="61">
        <v>41</v>
      </c>
      <c r="N48" s="6">
        <f>(L48-M48)*0.7</f>
        <v>13.299999999999999</v>
      </c>
    </row>
    <row r="49" spans="1:16">
      <c r="A49" s="22" t="s">
        <v>94</v>
      </c>
      <c r="B49" s="22"/>
      <c r="C49" s="35">
        <v>44011</v>
      </c>
      <c r="D49" s="35"/>
      <c r="E49" s="35">
        <v>44084</v>
      </c>
      <c r="F49" s="5"/>
      <c r="G49" s="49"/>
      <c r="H49" s="5">
        <v>11.29</v>
      </c>
      <c r="I49" s="102">
        <f>25/30*71</f>
        <v>59.166666666666671</v>
      </c>
      <c r="J49" s="5"/>
      <c r="K49" s="5"/>
      <c r="L49" s="6">
        <v>40</v>
      </c>
      <c r="M49" s="61">
        <v>25</v>
      </c>
      <c r="N49" s="6">
        <f>(L49-M49)*0.7</f>
        <v>10.5</v>
      </c>
    </row>
    <row r="50" spans="1:16">
      <c r="A50" s="2" t="s">
        <v>99</v>
      </c>
      <c r="B50" s="2"/>
      <c r="C50" s="35">
        <v>44084</v>
      </c>
      <c r="D50" s="35"/>
      <c r="E50" s="35">
        <v>44105</v>
      </c>
      <c r="F50" s="5" t="s">
        <v>160</v>
      </c>
      <c r="G50" s="49">
        <v>5</v>
      </c>
      <c r="H50" s="5">
        <v>12.24</v>
      </c>
      <c r="I50" s="102">
        <f>25/30*20</f>
        <v>16.666666666666668</v>
      </c>
      <c r="J50" s="5"/>
      <c r="K50" s="5"/>
      <c r="L50" s="43">
        <v>40</v>
      </c>
      <c r="M50" s="61">
        <v>22</v>
      </c>
      <c r="N50" s="6">
        <f>5+13*0.7</f>
        <v>14.1</v>
      </c>
      <c r="P50" s="41"/>
    </row>
    <row r="51" spans="1:16">
      <c r="A51" s="2" t="s">
        <v>102</v>
      </c>
      <c r="B51" s="2"/>
      <c r="C51" s="4" t="s">
        <v>103</v>
      </c>
      <c r="D51" s="4"/>
      <c r="E51" s="4">
        <v>44110</v>
      </c>
      <c r="F51" s="5" t="s">
        <v>160</v>
      </c>
      <c r="G51" s="49">
        <v>10</v>
      </c>
      <c r="H51" s="5">
        <v>36.65</v>
      </c>
      <c r="I51" s="102">
        <f>115/30*26</f>
        <v>99.666666666666671</v>
      </c>
      <c r="J51" s="5"/>
      <c r="K51" s="5"/>
      <c r="L51" s="6">
        <v>180</v>
      </c>
      <c r="M51" s="61">
        <v>115</v>
      </c>
      <c r="N51" s="6">
        <f>10+55*0.7</f>
        <v>48.5</v>
      </c>
      <c r="P51" s="41"/>
    </row>
    <row r="52" spans="1:16">
      <c r="A52" s="2" t="s">
        <v>94</v>
      </c>
      <c r="B52" s="2"/>
      <c r="C52" s="35">
        <v>44124</v>
      </c>
      <c r="D52" s="35"/>
      <c r="E52" s="35">
        <v>44124</v>
      </c>
      <c r="F52" s="5"/>
      <c r="G52" s="49"/>
      <c r="H52" s="5">
        <v>7.25</v>
      </c>
      <c r="I52" s="102">
        <v>0</v>
      </c>
      <c r="J52" s="5"/>
      <c r="K52" s="5"/>
      <c r="L52" s="6">
        <v>25</v>
      </c>
      <c r="M52" s="61">
        <v>11</v>
      </c>
      <c r="N52" s="6">
        <f>(L52-M52)*0.7</f>
        <v>9.7999999999999989</v>
      </c>
    </row>
    <row r="53" spans="1:16">
      <c r="A53" s="2" t="s">
        <v>100</v>
      </c>
      <c r="B53" s="2"/>
      <c r="C53" s="4">
        <v>44018</v>
      </c>
      <c r="D53" s="4"/>
      <c r="E53" s="4">
        <v>44124</v>
      </c>
      <c r="F53" s="40"/>
      <c r="G53" s="2"/>
      <c r="H53" s="5">
        <v>9.5</v>
      </c>
      <c r="I53" s="102">
        <f>25/30*104</f>
        <v>86.666666666666671</v>
      </c>
      <c r="J53" s="5"/>
      <c r="K53" s="5"/>
      <c r="L53" s="6">
        <v>70</v>
      </c>
      <c r="M53" s="61">
        <v>25</v>
      </c>
      <c r="N53" s="6">
        <f>(L53-M53)*0.7</f>
        <v>31.499999999999996</v>
      </c>
    </row>
    <row r="54" spans="1:16">
      <c r="A54" s="2" t="s">
        <v>101</v>
      </c>
      <c r="B54" s="2"/>
      <c r="C54" s="4">
        <v>44070</v>
      </c>
      <c r="D54" s="4"/>
      <c r="E54" s="4">
        <v>44131</v>
      </c>
      <c r="F54" s="40"/>
      <c r="G54" s="2"/>
      <c r="H54" s="5">
        <v>13.93</v>
      </c>
      <c r="I54" s="102">
        <f>71/30*60</f>
        <v>142</v>
      </c>
      <c r="J54" s="5"/>
      <c r="K54" s="5"/>
      <c r="L54" s="6">
        <v>120</v>
      </c>
      <c r="M54" s="61">
        <f>60+11</f>
        <v>71</v>
      </c>
      <c r="N54" s="6">
        <f>(L54-M54)*0.7</f>
        <v>34.299999999999997</v>
      </c>
    </row>
    <row r="55" spans="1:16">
      <c r="A55" s="22" t="s">
        <v>104</v>
      </c>
      <c r="B55" s="22"/>
      <c r="C55" s="4">
        <v>44159</v>
      </c>
      <c r="D55" s="4"/>
      <c r="E55" s="4">
        <v>44187</v>
      </c>
      <c r="F55" s="40"/>
      <c r="G55" s="2"/>
      <c r="H55" s="5">
        <v>13.93</v>
      </c>
      <c r="I55" s="102">
        <f>36/30*28</f>
        <v>33.6</v>
      </c>
      <c r="J55" s="5"/>
      <c r="K55" s="5"/>
      <c r="L55" s="6">
        <v>110</v>
      </c>
      <c r="M55" s="61">
        <f>25+11</f>
        <v>36</v>
      </c>
      <c r="N55" s="6">
        <f>(L55-M55)*0.7</f>
        <v>51.8</v>
      </c>
    </row>
    <row r="56" spans="1:16">
      <c r="A56" s="22" t="s">
        <v>120</v>
      </c>
      <c r="B56" s="22"/>
      <c r="C56" s="4">
        <v>44169</v>
      </c>
      <c r="D56" s="4"/>
      <c r="E56" s="4">
        <v>44208</v>
      </c>
      <c r="F56" s="5" t="s">
        <v>160</v>
      </c>
      <c r="G56" s="49">
        <v>10</v>
      </c>
      <c r="H56" s="5"/>
      <c r="I56" s="102">
        <f>41/30*38</f>
        <v>51.933333333333337</v>
      </c>
      <c r="J56" s="5"/>
      <c r="K56" s="5"/>
      <c r="L56" s="6">
        <v>70</v>
      </c>
      <c r="M56" s="61">
        <v>45</v>
      </c>
      <c r="N56" s="5">
        <f>10+(60-45)*0.7</f>
        <v>20.5</v>
      </c>
      <c r="O56" s="1" t="s">
        <v>145</v>
      </c>
    </row>
    <row r="57" spans="1:16">
      <c r="A57" s="22" t="s">
        <v>108</v>
      </c>
      <c r="B57" s="22"/>
      <c r="C57" s="4">
        <v>44185</v>
      </c>
      <c r="D57" s="4"/>
      <c r="E57" s="4">
        <v>44242</v>
      </c>
      <c r="F57" s="5" t="s">
        <v>160</v>
      </c>
      <c r="G57" s="49">
        <v>20</v>
      </c>
      <c r="H57" s="5">
        <v>26.48</v>
      </c>
      <c r="I57" s="102">
        <f>50/30*55</f>
        <v>91.666666666666671</v>
      </c>
      <c r="J57" s="5">
        <v>160</v>
      </c>
      <c r="K57" s="5"/>
      <c r="L57" s="6">
        <v>130</v>
      </c>
      <c r="M57" s="61">
        <v>34</v>
      </c>
      <c r="N57" s="5">
        <f>(20+(110-34)*0.7)</f>
        <v>73.199999999999989</v>
      </c>
      <c r="O57" s="1" t="s">
        <v>145</v>
      </c>
    </row>
    <row r="58" spans="1:16">
      <c r="A58" s="22" t="s">
        <v>109</v>
      </c>
      <c r="B58" s="22"/>
      <c r="C58" s="4">
        <v>44209</v>
      </c>
      <c r="D58" s="4"/>
      <c r="E58" s="4">
        <v>44250</v>
      </c>
      <c r="F58" s="5" t="s">
        <v>160</v>
      </c>
      <c r="G58" s="49">
        <v>22.5</v>
      </c>
      <c r="H58" s="5">
        <v>22.83</v>
      </c>
      <c r="I58" s="102">
        <f>100/30*40</f>
        <v>133.33333333333334</v>
      </c>
      <c r="J58" s="5">
        <v>125</v>
      </c>
      <c r="K58" s="5"/>
      <c r="L58" s="6">
        <v>210</v>
      </c>
      <c r="M58" s="61">
        <v>100</v>
      </c>
      <c r="N58" s="6">
        <f>(22.5+87.5*0.7)</f>
        <v>83.75</v>
      </c>
    </row>
    <row r="59" spans="1:16">
      <c r="A59" s="2" t="s">
        <v>113</v>
      </c>
      <c r="B59" s="2"/>
      <c r="C59" s="4">
        <v>44245</v>
      </c>
      <c r="D59" s="4"/>
      <c r="E59" s="4">
        <v>44271</v>
      </c>
      <c r="F59" s="5" t="s">
        <v>160</v>
      </c>
      <c r="G59" s="49">
        <v>15</v>
      </c>
      <c r="H59" s="5">
        <v>26.76</v>
      </c>
      <c r="I59" s="102">
        <f>67/30*28</f>
        <v>62.533333333333331</v>
      </c>
      <c r="J59" s="5"/>
      <c r="K59" s="5"/>
      <c r="L59" s="6">
        <v>140</v>
      </c>
      <c r="M59" s="61">
        <v>67</v>
      </c>
      <c r="N59" s="6">
        <f>(15+0.7*58)</f>
        <v>55.599999999999994</v>
      </c>
    </row>
    <row r="60" spans="1:16">
      <c r="A60" s="2" t="s">
        <v>112</v>
      </c>
      <c r="B60" s="2"/>
      <c r="C60" s="4">
        <v>44270</v>
      </c>
      <c r="D60" s="4"/>
      <c r="E60" s="4">
        <v>44286</v>
      </c>
      <c r="F60" s="5" t="s">
        <v>160</v>
      </c>
      <c r="G60" s="49">
        <v>17.5</v>
      </c>
      <c r="H60" s="5">
        <v>31.96</v>
      </c>
      <c r="I60" s="102">
        <f>55/30*16</f>
        <v>29.333333333333332</v>
      </c>
      <c r="J60" s="5">
        <v>75</v>
      </c>
      <c r="K60" s="5"/>
      <c r="L60" s="6">
        <v>100</v>
      </c>
      <c r="M60" s="61">
        <v>55</v>
      </c>
      <c r="N60" s="6">
        <f>(17.5+27.5*0.7)</f>
        <v>36.75</v>
      </c>
    </row>
    <row r="61" spans="1:16">
      <c r="A61" s="22" t="s">
        <v>121</v>
      </c>
      <c r="B61" s="22"/>
      <c r="C61" s="4">
        <v>44316</v>
      </c>
      <c r="D61" s="4"/>
      <c r="E61" s="4">
        <v>44354</v>
      </c>
      <c r="F61" s="40"/>
      <c r="G61" s="2"/>
      <c r="H61" s="5">
        <v>15.15</v>
      </c>
      <c r="I61" s="102">
        <f>36/30*37</f>
        <v>44.4</v>
      </c>
      <c r="J61" s="5"/>
      <c r="K61" s="5"/>
      <c r="L61" s="6">
        <v>110</v>
      </c>
      <c r="M61" s="61">
        <v>36</v>
      </c>
      <c r="N61" s="5">
        <f>(L61-M61)*0.7</f>
        <v>51.8</v>
      </c>
      <c r="O61" s="1" t="s">
        <v>145</v>
      </c>
    </row>
    <row r="62" spans="1:16">
      <c r="A62" s="22" t="s">
        <v>126</v>
      </c>
      <c r="B62" s="22"/>
      <c r="C62" s="4">
        <v>44336</v>
      </c>
      <c r="D62" s="4"/>
      <c r="E62" s="4">
        <v>44370</v>
      </c>
      <c r="F62" s="5" t="s">
        <v>161</v>
      </c>
      <c r="G62" s="49">
        <v>17.5</v>
      </c>
      <c r="H62" s="5">
        <v>35.78</v>
      </c>
      <c r="I62" s="102">
        <f>58/30*33</f>
        <v>63.8</v>
      </c>
      <c r="J62" s="5">
        <v>50</v>
      </c>
      <c r="K62" s="5"/>
      <c r="L62" s="6">
        <v>150</v>
      </c>
      <c r="M62" s="61">
        <v>58</v>
      </c>
      <c r="N62" s="6">
        <f>(17.5+74.5*0.7)</f>
        <v>69.650000000000006</v>
      </c>
    </row>
    <row r="63" spans="1:16">
      <c r="A63" s="44" t="s">
        <v>125</v>
      </c>
      <c r="B63" s="44"/>
      <c r="C63" s="4">
        <v>44342</v>
      </c>
      <c r="D63" s="4"/>
      <c r="E63" s="4">
        <v>44386</v>
      </c>
      <c r="F63" s="5" t="s">
        <v>160</v>
      </c>
      <c r="G63" s="49">
        <v>12.5</v>
      </c>
      <c r="H63" s="5">
        <v>15.46</v>
      </c>
      <c r="I63" s="102">
        <f>36/30*43</f>
        <v>51.6</v>
      </c>
      <c r="J63" s="5">
        <f>50+45</f>
        <v>95</v>
      </c>
      <c r="K63" s="5"/>
      <c r="L63" s="6">
        <v>80</v>
      </c>
      <c r="M63" s="61">
        <v>33</v>
      </c>
      <c r="N63" s="6">
        <f>12.5+(L63-M63-12.5)*0.7</f>
        <v>36.65</v>
      </c>
    </row>
    <row r="64" spans="1:16">
      <c r="A64" s="44" t="s">
        <v>129</v>
      </c>
      <c r="B64" s="44"/>
      <c r="C64" s="4">
        <v>44348</v>
      </c>
      <c r="D64" s="4"/>
      <c r="E64" s="4">
        <v>44389</v>
      </c>
      <c r="F64" s="5" t="s">
        <v>160</v>
      </c>
      <c r="G64" s="49">
        <v>12.5</v>
      </c>
      <c r="H64" s="5">
        <v>26.22</v>
      </c>
      <c r="I64" s="102">
        <f>71/30*42</f>
        <v>99.4</v>
      </c>
      <c r="J64" s="5">
        <f>50+45</f>
        <v>95</v>
      </c>
      <c r="K64" s="5"/>
      <c r="L64" s="6">
        <v>140</v>
      </c>
      <c r="M64" s="61">
        <v>71</v>
      </c>
      <c r="N64" s="6">
        <f>(12.5+(127.5-71)*0.7)</f>
        <v>52.05</v>
      </c>
    </row>
    <row r="65" spans="1:16">
      <c r="A65" s="44" t="s">
        <v>132</v>
      </c>
      <c r="B65" s="44"/>
      <c r="C65" s="4">
        <v>44407</v>
      </c>
      <c r="D65" s="4"/>
      <c r="E65" s="4">
        <v>44461</v>
      </c>
      <c r="F65" s="40"/>
      <c r="G65" s="2"/>
      <c r="H65" s="5">
        <v>9.8800000000000008</v>
      </c>
      <c r="I65" s="102">
        <f>25/30*52</f>
        <v>43.333333333333336</v>
      </c>
      <c r="J65" s="5"/>
      <c r="K65" s="5"/>
      <c r="L65" s="6">
        <v>40</v>
      </c>
      <c r="M65" s="61">
        <v>25</v>
      </c>
      <c r="N65" s="6">
        <f>(L65-M65)*0.7</f>
        <v>10.5</v>
      </c>
    </row>
    <row r="66" spans="1:16">
      <c r="A66" s="52" t="s">
        <v>141</v>
      </c>
      <c r="B66" s="52"/>
      <c r="C66" s="57">
        <v>44459</v>
      </c>
      <c r="D66" s="57"/>
      <c r="E66" s="57">
        <v>44481</v>
      </c>
      <c r="F66" s="10" t="s">
        <v>161</v>
      </c>
      <c r="G66" s="12">
        <v>10</v>
      </c>
      <c r="H66" s="25">
        <v>15.15</v>
      </c>
      <c r="I66" s="103">
        <f>46/30*22</f>
        <v>33.733333333333334</v>
      </c>
      <c r="J66" s="25">
        <v>80</v>
      </c>
      <c r="K66" s="25"/>
      <c r="L66" s="27">
        <v>120</v>
      </c>
      <c r="M66" s="64">
        <v>46</v>
      </c>
      <c r="N66" s="27">
        <f>10+(120-56)*0.7</f>
        <v>54.8</v>
      </c>
    </row>
    <row r="67" spans="1:16">
      <c r="A67" s="52" t="s">
        <v>140</v>
      </c>
      <c r="B67" s="52"/>
      <c r="C67" s="57">
        <v>44449</v>
      </c>
      <c r="D67" s="57"/>
      <c r="E67" s="57">
        <v>44482</v>
      </c>
      <c r="F67" s="25" t="s">
        <v>160</v>
      </c>
      <c r="G67" s="58">
        <v>10</v>
      </c>
      <c r="H67" s="25">
        <v>13.4</v>
      </c>
      <c r="I67" s="103">
        <f>60/30*33</f>
        <v>66</v>
      </c>
      <c r="J67" s="25">
        <v>80</v>
      </c>
      <c r="K67" s="25"/>
      <c r="L67" s="27">
        <v>120</v>
      </c>
      <c r="M67" s="64">
        <v>61</v>
      </c>
      <c r="N67" s="27">
        <f>(10+49*0.7)</f>
        <v>44.3</v>
      </c>
    </row>
    <row r="68" spans="1:16">
      <c r="A68" s="44" t="s">
        <v>137</v>
      </c>
      <c r="B68" s="44"/>
      <c r="C68" s="35">
        <v>44474</v>
      </c>
      <c r="D68" s="35"/>
      <c r="E68" s="35">
        <v>44487</v>
      </c>
      <c r="F68" s="10" t="s">
        <v>161</v>
      </c>
      <c r="G68" s="12">
        <v>12.5</v>
      </c>
      <c r="H68" s="5">
        <v>15.15</v>
      </c>
      <c r="I68" s="102">
        <f>71/30*13</f>
        <v>30.766666666666666</v>
      </c>
      <c r="J68" s="5">
        <v>95</v>
      </c>
      <c r="K68" s="5"/>
      <c r="L68" s="6">
        <v>140</v>
      </c>
      <c r="M68" s="61">
        <v>71</v>
      </c>
      <c r="N68" s="6">
        <f>12.5+(56.5)*0.7</f>
        <v>52.05</v>
      </c>
    </row>
    <row r="69" spans="1:16">
      <c r="A69" s="44" t="s">
        <v>143</v>
      </c>
      <c r="B69" s="44"/>
      <c r="C69" s="35">
        <v>43717</v>
      </c>
      <c r="D69" s="35"/>
      <c r="E69" s="35">
        <v>44505</v>
      </c>
      <c r="F69" s="40"/>
      <c r="G69" s="49"/>
      <c r="H69" s="5">
        <v>13.4</v>
      </c>
      <c r="I69" s="102">
        <f>36*25+36/30*26</f>
        <v>931.2</v>
      </c>
      <c r="J69" s="5"/>
      <c r="K69" s="5"/>
      <c r="L69" s="6">
        <v>100</v>
      </c>
      <c r="M69" s="61">
        <v>36</v>
      </c>
      <c r="N69" s="6">
        <f>(100-36)*0.7</f>
        <v>44.8</v>
      </c>
    </row>
    <row r="70" spans="1:16">
      <c r="A70" s="44" t="s">
        <v>139</v>
      </c>
      <c r="B70" s="44"/>
      <c r="C70" s="35">
        <v>44492</v>
      </c>
      <c r="D70" s="35"/>
      <c r="E70" s="35">
        <v>44539</v>
      </c>
      <c r="F70" s="40"/>
      <c r="G70" s="49"/>
      <c r="H70" s="5">
        <v>16.350000000000001</v>
      </c>
      <c r="I70" s="102">
        <f>71/30*46</f>
        <v>108.86666666666667</v>
      </c>
      <c r="J70" s="5">
        <v>95</v>
      </c>
      <c r="K70" s="5"/>
      <c r="L70" s="6">
        <v>140</v>
      </c>
      <c r="M70" s="61">
        <v>71</v>
      </c>
      <c r="N70" s="12">
        <f>(140-71)*0.7</f>
        <v>48.3</v>
      </c>
      <c r="O70" s="72" t="s">
        <v>329</v>
      </c>
      <c r="P70" s="72">
        <v>33.81</v>
      </c>
    </row>
    <row r="71" spans="1:16">
      <c r="A71" s="44" t="s">
        <v>144</v>
      </c>
      <c r="B71" s="44"/>
      <c r="C71" s="35">
        <v>44526</v>
      </c>
      <c r="D71" s="35"/>
      <c r="E71" s="35">
        <v>44550</v>
      </c>
      <c r="F71" s="5" t="s">
        <v>160</v>
      </c>
      <c r="G71" s="49">
        <v>12.5</v>
      </c>
      <c r="H71" s="5">
        <v>13.4</v>
      </c>
      <c r="I71" s="102">
        <f>83/30*24</f>
        <v>66.400000000000006</v>
      </c>
      <c r="J71" s="5"/>
      <c r="K71" s="5"/>
      <c r="L71" s="6">
        <v>140</v>
      </c>
      <c r="M71" s="61">
        <v>94</v>
      </c>
      <c r="N71" s="6">
        <f>12.5+(140-12.5-94)*0.7</f>
        <v>35.950000000000003</v>
      </c>
    </row>
    <row r="72" spans="1:16">
      <c r="A72" s="44" t="s">
        <v>149</v>
      </c>
      <c r="B72" s="44"/>
      <c r="C72" s="35">
        <v>44880</v>
      </c>
      <c r="D72" s="35"/>
      <c r="E72" s="35">
        <v>44575</v>
      </c>
      <c r="F72" s="40"/>
      <c r="G72" s="49"/>
      <c r="H72" s="5">
        <v>13.4</v>
      </c>
      <c r="I72" s="102"/>
      <c r="J72" s="5">
        <v>50</v>
      </c>
      <c r="K72" s="5"/>
      <c r="L72" s="6">
        <v>160</v>
      </c>
      <c r="M72" s="61">
        <f>71+9</f>
        <v>80</v>
      </c>
      <c r="N72" s="6">
        <f>(160-80)*0.7</f>
        <v>56</v>
      </c>
    </row>
    <row r="73" spans="1:16">
      <c r="A73" s="44" t="s">
        <v>146</v>
      </c>
      <c r="B73" s="44"/>
      <c r="C73" s="4">
        <v>44586</v>
      </c>
      <c r="D73" s="4"/>
      <c r="E73" s="4">
        <v>44615</v>
      </c>
      <c r="F73" s="10" t="s">
        <v>161</v>
      </c>
      <c r="G73" s="12">
        <v>12.5</v>
      </c>
      <c r="H73" s="5">
        <v>15.46</v>
      </c>
      <c r="I73" s="102">
        <f>27/30*28</f>
        <v>25.2</v>
      </c>
      <c r="J73" s="5">
        <v>110</v>
      </c>
      <c r="K73" s="5"/>
      <c r="L73" s="6">
        <v>154</v>
      </c>
      <c r="M73" s="61">
        <v>72</v>
      </c>
      <c r="N73" s="6">
        <f>12.5+(154-12.5-62)*0.7</f>
        <v>68.150000000000006</v>
      </c>
    </row>
    <row r="74" spans="1:16">
      <c r="A74" s="44" t="s">
        <v>150</v>
      </c>
      <c r="B74" s="44"/>
      <c r="C74" s="4">
        <v>44899</v>
      </c>
      <c r="D74" s="4"/>
      <c r="E74" s="4">
        <v>44607</v>
      </c>
      <c r="F74" s="12" t="s">
        <v>160</v>
      </c>
      <c r="G74" s="12">
        <v>12.5</v>
      </c>
      <c r="H74" s="5">
        <v>13.4</v>
      </c>
      <c r="I74" s="102">
        <f>71/30*61</f>
        <v>144.36666666666667</v>
      </c>
      <c r="J74" s="5">
        <v>80</v>
      </c>
      <c r="K74" s="5"/>
      <c r="L74" s="6">
        <v>120</v>
      </c>
      <c r="M74" s="61">
        <v>60</v>
      </c>
      <c r="N74" s="6">
        <f>12.5+(120-72.5)*0.7</f>
        <v>45.75</v>
      </c>
    </row>
    <row r="75" spans="1:16">
      <c r="A75" s="44" t="s">
        <v>153</v>
      </c>
      <c r="B75" s="44"/>
      <c r="C75" s="4">
        <v>44623</v>
      </c>
      <c r="D75" s="4"/>
      <c r="E75" s="4">
        <v>44623</v>
      </c>
      <c r="F75" s="40"/>
      <c r="G75" s="40"/>
      <c r="H75" s="5">
        <v>11.03</v>
      </c>
      <c r="I75" s="102">
        <v>0</v>
      </c>
      <c r="J75" s="5">
        <v>15</v>
      </c>
      <c r="K75" s="5"/>
      <c r="L75" s="6">
        <v>30</v>
      </c>
      <c r="M75" s="61">
        <v>12</v>
      </c>
      <c r="N75" s="6">
        <f>(L75-M75)*0.7</f>
        <v>12.6</v>
      </c>
    </row>
    <row r="76" spans="1:16">
      <c r="A76" s="44" t="s">
        <v>157</v>
      </c>
      <c r="B76" s="44"/>
      <c r="C76" s="4">
        <v>44627</v>
      </c>
      <c r="D76" s="4"/>
      <c r="E76" s="4">
        <v>44627</v>
      </c>
      <c r="F76" s="10" t="s">
        <v>161</v>
      </c>
      <c r="G76" s="12">
        <v>10</v>
      </c>
      <c r="H76" s="5">
        <v>15.46</v>
      </c>
      <c r="I76" s="102">
        <v>0</v>
      </c>
      <c r="J76" s="5">
        <v>0</v>
      </c>
      <c r="K76" s="5"/>
      <c r="L76" s="6">
        <v>100</v>
      </c>
      <c r="M76" s="61">
        <v>44</v>
      </c>
      <c r="N76" s="6">
        <f>10+(46)*0.7</f>
        <v>42.199999999999996</v>
      </c>
    </row>
    <row r="77" spans="1:16">
      <c r="A77" s="44" t="s">
        <v>171</v>
      </c>
      <c r="B77" s="44"/>
      <c r="C77" s="4">
        <v>44648</v>
      </c>
      <c r="D77" s="4"/>
      <c r="E77" s="4">
        <v>44734</v>
      </c>
      <c r="F77" s="40"/>
      <c r="G77" s="5"/>
      <c r="H77" s="5">
        <v>13.72</v>
      </c>
      <c r="I77" s="102">
        <f>56/30*84</f>
        <v>156.80000000000001</v>
      </c>
      <c r="J77" s="5">
        <v>95</v>
      </c>
      <c r="K77" s="5"/>
      <c r="L77" s="6">
        <v>140</v>
      </c>
      <c r="M77" s="61">
        <v>56</v>
      </c>
      <c r="N77" s="6">
        <f>(140-56)*0.7</f>
        <v>58.8</v>
      </c>
    </row>
    <row r="78" spans="1:16">
      <c r="A78" s="44" t="s">
        <v>172</v>
      </c>
      <c r="B78" s="44"/>
      <c r="C78" s="4">
        <v>44705</v>
      </c>
      <c r="D78" s="4"/>
      <c r="E78" s="4">
        <v>44715</v>
      </c>
      <c r="F78" s="40"/>
      <c r="G78" s="5"/>
      <c r="H78" s="5">
        <v>10.039999999999999</v>
      </c>
      <c r="I78" s="102">
        <f>25/30*9</f>
        <v>7.5</v>
      </c>
      <c r="J78" s="5"/>
      <c r="K78" s="5"/>
      <c r="L78" s="6">
        <v>50</v>
      </c>
      <c r="M78" s="61">
        <v>25</v>
      </c>
      <c r="N78" s="6">
        <f>(50-25)*0.7</f>
        <v>17.5</v>
      </c>
    </row>
    <row r="79" spans="1:16">
      <c r="A79" s="44" t="s">
        <v>173</v>
      </c>
      <c r="B79" s="44"/>
      <c r="C79" s="4">
        <v>44704</v>
      </c>
      <c r="D79" s="4"/>
      <c r="E79" s="4">
        <v>44721</v>
      </c>
      <c r="F79" s="10" t="s">
        <v>161</v>
      </c>
      <c r="G79" s="56">
        <v>12.5</v>
      </c>
      <c r="H79" s="5">
        <v>13.72</v>
      </c>
      <c r="I79" s="102">
        <f>37/30*16</f>
        <v>19.733333333333334</v>
      </c>
      <c r="J79" s="5">
        <f>50+45</f>
        <v>95</v>
      </c>
      <c r="K79" s="5"/>
      <c r="L79" s="6">
        <v>129</v>
      </c>
      <c r="M79" s="61">
        <v>54.5</v>
      </c>
      <c r="N79" s="56">
        <f>12.5+(116.5-54.5)*0.7</f>
        <v>55.9</v>
      </c>
    </row>
    <row r="80" spans="1:16">
      <c r="A80" s="44" t="s">
        <v>174</v>
      </c>
      <c r="B80" s="44"/>
      <c r="C80" s="4">
        <v>44715</v>
      </c>
      <c r="D80" s="4"/>
      <c r="E80" s="4">
        <v>44820</v>
      </c>
      <c r="F80" s="10" t="s">
        <v>161</v>
      </c>
      <c r="G80" s="56">
        <v>15</v>
      </c>
      <c r="H80" s="5">
        <v>14.6</v>
      </c>
      <c r="I80" s="102">
        <f>56/30*103</f>
        <v>192.26666666666668</v>
      </c>
      <c r="J80" s="5">
        <v>50</v>
      </c>
      <c r="K80" s="5"/>
      <c r="L80" s="6">
        <f>130</f>
        <v>130</v>
      </c>
      <c r="M80" s="61">
        <v>56</v>
      </c>
      <c r="N80" s="56">
        <f>15+(115-56)*0.7</f>
        <v>56.3</v>
      </c>
    </row>
    <row r="81" spans="1:14">
      <c r="A81" s="44" t="s">
        <v>183</v>
      </c>
      <c r="B81" s="44"/>
      <c r="C81" s="4">
        <v>44749</v>
      </c>
      <c r="D81" s="4">
        <v>44830</v>
      </c>
      <c r="E81" s="4">
        <v>44858</v>
      </c>
      <c r="F81" s="40"/>
      <c r="G81" s="5"/>
      <c r="H81" s="5">
        <v>11.03</v>
      </c>
      <c r="I81" s="102">
        <v>25</v>
      </c>
      <c r="J81" s="5">
        <v>15</v>
      </c>
      <c r="K81" s="5"/>
      <c r="L81" s="6">
        <v>80</v>
      </c>
      <c r="M81" s="61">
        <v>25</v>
      </c>
      <c r="N81" s="6">
        <f>55*0.7</f>
        <v>38.5</v>
      </c>
    </row>
    <row r="82" spans="1:14">
      <c r="A82" s="44" t="s">
        <v>184</v>
      </c>
      <c r="B82" s="44"/>
      <c r="C82" s="4">
        <v>44775</v>
      </c>
      <c r="D82" s="4">
        <v>44810</v>
      </c>
      <c r="E82" s="4">
        <v>44848</v>
      </c>
      <c r="F82" s="40"/>
      <c r="G82" s="5"/>
      <c r="H82" s="5">
        <v>23.38</v>
      </c>
      <c r="I82" s="102">
        <f>100/30*38</f>
        <v>126.66666666666667</v>
      </c>
      <c r="J82" s="5">
        <v>155</v>
      </c>
      <c r="K82" s="5"/>
      <c r="L82" s="6">
        <v>220</v>
      </c>
      <c r="M82" s="61">
        <v>100</v>
      </c>
      <c r="N82" s="6">
        <v>90.75</v>
      </c>
    </row>
    <row r="83" spans="1:14">
      <c r="A83" s="44" t="s">
        <v>185</v>
      </c>
      <c r="B83" s="44"/>
      <c r="C83" s="4">
        <v>44830</v>
      </c>
      <c r="D83" s="4">
        <v>44852</v>
      </c>
      <c r="E83" s="4">
        <v>44858</v>
      </c>
      <c r="F83" s="10" t="s">
        <v>161</v>
      </c>
      <c r="G83" s="12">
        <v>15</v>
      </c>
      <c r="H83" s="5">
        <v>23.38</v>
      </c>
      <c r="I83" s="102">
        <f>54.5/30*6</f>
        <v>10.9</v>
      </c>
      <c r="J83" s="5">
        <v>95</v>
      </c>
      <c r="K83" s="5"/>
      <c r="L83" s="6">
        <v>160</v>
      </c>
      <c r="M83" s="61">
        <v>64.5</v>
      </c>
      <c r="N83" s="6">
        <f>15+(145-64.5)*0.7</f>
        <v>71.349999999999994</v>
      </c>
    </row>
    <row r="84" spans="1:14">
      <c r="A84" s="44" t="s">
        <v>190</v>
      </c>
      <c r="B84" s="44"/>
      <c r="C84" s="4"/>
      <c r="D84" s="4">
        <v>44879</v>
      </c>
      <c r="E84" s="35">
        <v>44887</v>
      </c>
      <c r="F84" s="44" t="s">
        <v>161</v>
      </c>
      <c r="G84" s="56">
        <v>10</v>
      </c>
      <c r="H84" s="5">
        <v>14.6</v>
      </c>
      <c r="I84" s="102">
        <f>34/30*8</f>
        <v>9.0666666666666664</v>
      </c>
      <c r="J84" s="5">
        <v>45</v>
      </c>
      <c r="K84" s="5"/>
      <c r="L84" s="6">
        <v>75</v>
      </c>
      <c r="M84" s="61">
        <v>34</v>
      </c>
      <c r="N84" s="56">
        <f>10+(80-34)*0.7</f>
        <v>42.199999999999996</v>
      </c>
    </row>
    <row r="85" spans="1:14">
      <c r="A85" s="44" t="s">
        <v>193</v>
      </c>
      <c r="B85" s="44"/>
      <c r="C85" s="4">
        <v>44872</v>
      </c>
      <c r="D85" s="4">
        <v>44879</v>
      </c>
      <c r="E85" s="35">
        <v>44882</v>
      </c>
      <c r="F85" s="40"/>
      <c r="G85" s="5"/>
      <c r="H85" s="5">
        <v>10.039999999999999</v>
      </c>
      <c r="I85" s="102">
        <f>25/30*3</f>
        <v>2.5</v>
      </c>
      <c r="J85" s="5"/>
      <c r="K85" s="5"/>
      <c r="L85" s="6">
        <v>40</v>
      </c>
      <c r="M85" s="61">
        <v>25</v>
      </c>
      <c r="N85" s="6">
        <f>(L85-M85)*0.7</f>
        <v>10.5</v>
      </c>
    </row>
    <row r="86" spans="1:14">
      <c r="A86" s="44" t="s">
        <v>213</v>
      </c>
      <c r="B86" s="44"/>
      <c r="C86" s="4">
        <v>44894</v>
      </c>
      <c r="D86" s="4">
        <v>44908</v>
      </c>
      <c r="E86" s="35">
        <v>44944</v>
      </c>
      <c r="F86" s="40" t="s">
        <v>161</v>
      </c>
      <c r="G86" s="5">
        <v>15</v>
      </c>
      <c r="H86" s="5">
        <v>31.72</v>
      </c>
      <c r="I86" s="102">
        <f>50/30*35</f>
        <v>58.333333333333336</v>
      </c>
      <c r="J86" s="5">
        <f>60+50</f>
        <v>110</v>
      </c>
      <c r="K86" s="5"/>
      <c r="L86" s="6">
        <v>119</v>
      </c>
      <c r="M86" s="61">
        <v>54</v>
      </c>
      <c r="N86" s="94">
        <f>15+(L86-M86-15)*0.7</f>
        <v>50</v>
      </c>
    </row>
    <row r="87" spans="1:14">
      <c r="A87" s="44" t="s">
        <v>227</v>
      </c>
      <c r="B87" s="44"/>
      <c r="C87" s="4">
        <v>44949</v>
      </c>
      <c r="D87" s="4">
        <v>44953</v>
      </c>
      <c r="E87" s="35">
        <v>44966</v>
      </c>
      <c r="F87" s="40" t="s">
        <v>160</v>
      </c>
      <c r="G87" s="5">
        <v>15</v>
      </c>
      <c r="H87" s="5">
        <v>16.38</v>
      </c>
      <c r="I87" s="102">
        <f>61.5/30*12</f>
        <v>24.599999999999998</v>
      </c>
      <c r="J87" s="5">
        <f>50+60</f>
        <v>110</v>
      </c>
      <c r="K87" s="5"/>
      <c r="L87" s="6">
        <v>160</v>
      </c>
      <c r="M87" s="65">
        <f>32.5+7+22</f>
        <v>61.5</v>
      </c>
      <c r="N87" s="59">
        <f>15+(L87-M87-15)*0.7</f>
        <v>73.449999999999989</v>
      </c>
    </row>
    <row r="88" spans="1:14">
      <c r="A88" s="44" t="s">
        <v>228</v>
      </c>
      <c r="B88" s="44"/>
      <c r="C88" s="4">
        <v>44957</v>
      </c>
      <c r="D88" s="4">
        <v>44957</v>
      </c>
      <c r="E88" s="35">
        <v>44977</v>
      </c>
      <c r="F88" s="40"/>
      <c r="G88" s="5"/>
      <c r="H88" s="5">
        <v>20.61</v>
      </c>
      <c r="I88" s="102">
        <f>66/30*20</f>
        <v>44</v>
      </c>
      <c r="J88" s="5">
        <v>90</v>
      </c>
      <c r="K88" s="5"/>
      <c r="L88" s="6">
        <v>155</v>
      </c>
      <c r="M88" s="65">
        <v>54</v>
      </c>
      <c r="N88" s="59">
        <f>(L88-M88)*0.7</f>
        <v>70.699999999999989</v>
      </c>
    </row>
    <row r="89" spans="1:14">
      <c r="A89" s="44" t="s">
        <v>255</v>
      </c>
      <c r="B89" s="44"/>
      <c r="C89" s="35">
        <v>44691</v>
      </c>
      <c r="D89" s="35">
        <v>44994</v>
      </c>
      <c r="E89" s="4">
        <v>44994</v>
      </c>
      <c r="F89" s="40"/>
      <c r="G89" s="40"/>
      <c r="H89" s="5">
        <v>11.03</v>
      </c>
      <c r="I89" s="102">
        <f>25*14</f>
        <v>350</v>
      </c>
      <c r="J89" s="40">
        <f>30+50</f>
        <v>80</v>
      </c>
      <c r="K89" s="40"/>
      <c r="L89" s="6">
        <v>109</v>
      </c>
      <c r="M89" s="6">
        <f>38+7</f>
        <v>45</v>
      </c>
      <c r="N89" s="59">
        <f>(L89-M89)*0.7</f>
        <v>44.8</v>
      </c>
    </row>
    <row r="90" spans="1:14">
      <c r="A90" s="44" t="s">
        <v>187</v>
      </c>
      <c r="B90" s="44"/>
      <c r="C90" s="35"/>
      <c r="D90" s="35">
        <v>44991</v>
      </c>
      <c r="E90" s="4">
        <v>44991</v>
      </c>
      <c r="F90" s="40"/>
      <c r="G90" s="40"/>
      <c r="H90" s="5">
        <v>13.31</v>
      </c>
      <c r="I90" s="102"/>
      <c r="J90" s="40">
        <v>45</v>
      </c>
      <c r="K90" s="40"/>
      <c r="L90" s="6">
        <v>80</v>
      </c>
      <c r="M90" s="6">
        <v>27</v>
      </c>
      <c r="N90" s="59">
        <f>(L90-M90)*0.7</f>
        <v>37.099999999999994</v>
      </c>
    </row>
    <row r="91" spans="1:14">
      <c r="A91" s="76" t="s">
        <v>276</v>
      </c>
      <c r="B91" s="44"/>
      <c r="C91" s="35">
        <v>45061</v>
      </c>
      <c r="D91" s="35">
        <v>45070</v>
      </c>
      <c r="E91" s="4"/>
      <c r="F91" s="40"/>
      <c r="G91" s="40"/>
      <c r="H91" s="5">
        <v>11.48</v>
      </c>
      <c r="I91" s="102">
        <f>21/30*9</f>
        <v>6.3</v>
      </c>
      <c r="J91" s="40"/>
      <c r="K91" s="40"/>
      <c r="L91" s="17">
        <f>50</f>
        <v>50</v>
      </c>
      <c r="M91" s="18">
        <v>21</v>
      </c>
      <c r="N91" s="70">
        <f>(50-21)*0.7</f>
        <v>20.299999999999997</v>
      </c>
    </row>
    <row r="92" spans="1:14">
      <c r="A92" s="76" t="s">
        <v>279</v>
      </c>
      <c r="B92" s="44"/>
      <c r="C92" s="35">
        <v>45065</v>
      </c>
      <c r="D92" s="35">
        <v>45070</v>
      </c>
      <c r="E92" s="4"/>
      <c r="F92" s="40"/>
      <c r="G92" s="40"/>
      <c r="H92" s="5">
        <v>11.48</v>
      </c>
      <c r="I92" s="102">
        <f>21/30*5</f>
        <v>3.5</v>
      </c>
      <c r="J92" s="40"/>
      <c r="K92" s="40"/>
      <c r="L92" s="17">
        <f>50</f>
        <v>50</v>
      </c>
      <c r="M92" s="18">
        <v>21</v>
      </c>
      <c r="N92" s="70">
        <f>(50-21)*0.7</f>
        <v>20.299999999999997</v>
      </c>
    </row>
    <row r="93" spans="1:14">
      <c r="A93" s="76" t="s">
        <v>278</v>
      </c>
      <c r="B93" s="52"/>
      <c r="C93" s="57">
        <v>44973</v>
      </c>
      <c r="D93" s="57">
        <v>45070</v>
      </c>
      <c r="E93" s="24"/>
      <c r="F93" s="48"/>
      <c r="G93" s="48"/>
      <c r="H93" s="25">
        <v>11.48</v>
      </c>
      <c r="I93" s="103">
        <f>21/30*98</f>
        <v>68.599999999999994</v>
      </c>
      <c r="J93" s="48"/>
      <c r="K93" s="48"/>
      <c r="L93" s="17">
        <v>50</v>
      </c>
      <c r="M93" s="26">
        <v>21</v>
      </c>
      <c r="N93" s="85">
        <f>(50-21)*0.7</f>
        <v>20.299999999999997</v>
      </c>
    </row>
    <row r="94" spans="1:14">
      <c r="A94" s="44" t="s">
        <v>289</v>
      </c>
      <c r="B94" s="44"/>
      <c r="C94" s="35">
        <v>45110</v>
      </c>
      <c r="D94" s="35">
        <v>45127</v>
      </c>
      <c r="E94" s="4">
        <v>45110</v>
      </c>
      <c r="F94" s="40"/>
      <c r="G94" s="40"/>
      <c r="H94" s="5">
        <v>13.31</v>
      </c>
      <c r="I94" s="102">
        <f>27/30*17</f>
        <v>15.3</v>
      </c>
      <c r="J94" s="40">
        <v>45</v>
      </c>
      <c r="K94" s="40"/>
      <c r="L94" s="6">
        <v>75</v>
      </c>
      <c r="M94" s="6">
        <v>27</v>
      </c>
      <c r="N94" s="59">
        <f>(L94-M94)*0.7</f>
        <v>33.599999999999994</v>
      </c>
    </row>
    <row r="95" spans="1:14">
      <c r="A95" s="44" t="s">
        <v>292</v>
      </c>
      <c r="B95" s="44"/>
      <c r="C95" s="35">
        <v>45138</v>
      </c>
      <c r="D95" s="35">
        <v>45139</v>
      </c>
      <c r="E95" s="35">
        <v>45162</v>
      </c>
      <c r="F95" s="40"/>
      <c r="G95" s="40"/>
      <c r="H95" s="5">
        <v>12.48</v>
      </c>
      <c r="I95" s="102">
        <f>27/30*23</f>
        <v>20.7</v>
      </c>
      <c r="J95" s="40">
        <v>45</v>
      </c>
      <c r="K95" s="40"/>
      <c r="L95" s="6">
        <v>90</v>
      </c>
      <c r="M95" s="6">
        <v>27</v>
      </c>
      <c r="N95" s="59">
        <f>(L95-M95)*0.7</f>
        <v>44.099999999999994</v>
      </c>
    </row>
    <row r="96" spans="1:14">
      <c r="A96" s="44" t="s">
        <v>293</v>
      </c>
      <c r="B96" s="44"/>
      <c r="C96" s="35">
        <v>45086</v>
      </c>
      <c r="D96" s="35">
        <v>45089</v>
      </c>
      <c r="E96" s="4">
        <v>45103</v>
      </c>
      <c r="F96" s="40"/>
      <c r="G96" s="40"/>
      <c r="H96" s="5">
        <v>11.03</v>
      </c>
      <c r="I96" s="102">
        <f>21/30*14</f>
        <v>9.7999999999999989</v>
      </c>
      <c r="J96" s="40"/>
      <c r="K96" s="40"/>
      <c r="L96" s="6">
        <v>50</v>
      </c>
      <c r="M96" s="6">
        <v>21</v>
      </c>
      <c r="N96" s="59">
        <f>(L96-M96)*0.7</f>
        <v>20.299999999999997</v>
      </c>
    </row>
    <row r="97" spans="1:16">
      <c r="A97" s="44" t="s">
        <v>295</v>
      </c>
      <c r="B97" s="44"/>
      <c r="C97" s="35">
        <v>45228</v>
      </c>
      <c r="D97" s="35">
        <v>45203</v>
      </c>
      <c r="E97" s="4"/>
      <c r="F97" s="40"/>
      <c r="G97" s="40"/>
      <c r="H97" s="5">
        <v>13.31</v>
      </c>
      <c r="I97" s="102">
        <f>27/30*5</f>
        <v>4.5</v>
      </c>
      <c r="J97" s="40">
        <v>45</v>
      </c>
      <c r="K97" s="40"/>
      <c r="L97" s="6">
        <v>80</v>
      </c>
      <c r="M97" s="6">
        <v>27</v>
      </c>
      <c r="N97" s="59">
        <f>(L97-M97)*0.7</f>
        <v>37.099999999999994</v>
      </c>
    </row>
    <row r="98" spans="1:16">
      <c r="A98" s="44" t="s">
        <v>320</v>
      </c>
      <c r="B98" s="44"/>
      <c r="C98" s="35">
        <v>45177</v>
      </c>
      <c r="D98" s="35">
        <v>45196</v>
      </c>
      <c r="E98" s="4"/>
      <c r="F98" s="40"/>
      <c r="G98" s="40"/>
      <c r="H98" s="5">
        <v>10.44</v>
      </c>
      <c r="I98" s="102">
        <f>38/30*21</f>
        <v>26.599999999999998</v>
      </c>
      <c r="J98" s="40"/>
      <c r="K98" s="40"/>
      <c r="L98" s="6">
        <v>69</v>
      </c>
      <c r="M98" s="6">
        <v>38</v>
      </c>
      <c r="N98" s="59">
        <f>(69-38)*0.7</f>
        <v>21.7</v>
      </c>
    </row>
    <row r="99" spans="1:16">
      <c r="A99" s="44" t="s">
        <v>325</v>
      </c>
      <c r="B99" s="44"/>
      <c r="C99" s="35"/>
      <c r="D99" s="35">
        <v>45223</v>
      </c>
      <c r="E99" s="4">
        <v>45239</v>
      </c>
      <c r="F99" s="40"/>
      <c r="G99" s="40"/>
      <c r="H99" s="5">
        <v>40</v>
      </c>
      <c r="I99" s="102">
        <f>43/30*15</f>
        <v>21.5</v>
      </c>
      <c r="J99" s="40"/>
      <c r="K99" s="40"/>
      <c r="L99" s="6">
        <v>69</v>
      </c>
      <c r="M99" s="6">
        <v>43</v>
      </c>
      <c r="N99" s="94">
        <f>(69-43)*0.7</f>
        <v>18.2</v>
      </c>
      <c r="O99" s="72" t="s">
        <v>329</v>
      </c>
      <c r="P99" s="72">
        <v>12.74</v>
      </c>
    </row>
    <row r="100" spans="1:16">
      <c r="A100" s="44" t="s">
        <v>326</v>
      </c>
      <c r="B100" s="44"/>
      <c r="C100" s="35"/>
      <c r="D100" s="35">
        <v>45188</v>
      </c>
      <c r="E100" s="4">
        <v>45209</v>
      </c>
      <c r="F100" s="40"/>
      <c r="G100" s="40"/>
      <c r="H100" s="5">
        <v>11.48</v>
      </c>
      <c r="I100" s="102"/>
      <c r="J100" s="40"/>
      <c r="K100" s="40"/>
      <c r="L100" s="6">
        <v>59</v>
      </c>
      <c r="M100" s="6">
        <v>38</v>
      </c>
      <c r="N100" s="59">
        <f>(L100-M100)*0.7</f>
        <v>14.7</v>
      </c>
    </row>
    <row r="101" spans="1:16">
      <c r="A101" s="44" t="s">
        <v>108</v>
      </c>
      <c r="B101" s="44"/>
      <c r="C101" s="35"/>
      <c r="D101" s="35">
        <v>45231</v>
      </c>
      <c r="E101" s="4">
        <v>45231</v>
      </c>
      <c r="F101" s="40"/>
      <c r="G101" s="40"/>
      <c r="H101" s="5"/>
      <c r="I101" s="102"/>
      <c r="J101" s="40"/>
      <c r="K101" s="40"/>
      <c r="L101" s="6">
        <v>69</v>
      </c>
      <c r="M101" s="6">
        <v>43</v>
      </c>
      <c r="N101" s="59">
        <f>(L101-M101)*0.7</f>
        <v>18.2</v>
      </c>
    </row>
    <row r="102" spans="1:16">
      <c r="A102" s="44" t="s">
        <v>327</v>
      </c>
      <c r="B102" s="44"/>
      <c r="C102" s="35"/>
      <c r="D102" s="35"/>
      <c r="E102" s="4">
        <v>45127</v>
      </c>
      <c r="F102" s="40"/>
      <c r="G102" s="40"/>
      <c r="H102" s="5">
        <v>11.48</v>
      </c>
      <c r="I102" s="102"/>
      <c r="J102" s="40"/>
      <c r="K102" s="40"/>
      <c r="L102" s="6">
        <v>25</v>
      </c>
      <c r="M102" s="6">
        <v>9</v>
      </c>
      <c r="N102" s="59">
        <f>(L102-M102)*0.7</f>
        <v>11.2</v>
      </c>
    </row>
    <row r="103" spans="1:16">
      <c r="A103" s="44" t="s">
        <v>336</v>
      </c>
      <c r="B103" s="44"/>
      <c r="C103" s="35"/>
      <c r="D103" s="35">
        <v>45278</v>
      </c>
      <c r="E103" s="4">
        <v>45278</v>
      </c>
      <c r="F103" s="40"/>
      <c r="G103" s="40"/>
      <c r="H103" s="5"/>
      <c r="I103" s="102"/>
      <c r="J103" s="40"/>
      <c r="K103" s="40"/>
      <c r="L103" s="6">
        <v>69</v>
      </c>
      <c r="M103" s="6">
        <v>43</v>
      </c>
      <c r="N103" s="59">
        <f>(69-43)*0.7/30*42</f>
        <v>25.48</v>
      </c>
    </row>
    <row r="104" spans="1:16">
      <c r="A104" s="44" t="s">
        <v>337</v>
      </c>
      <c r="B104" s="44"/>
      <c r="C104" s="35">
        <v>45342</v>
      </c>
      <c r="D104" s="35">
        <v>44977</v>
      </c>
      <c r="E104" s="4">
        <v>45342</v>
      </c>
      <c r="F104" s="40"/>
      <c r="G104" s="40"/>
      <c r="H104" s="5">
        <v>13.78</v>
      </c>
      <c r="I104" s="102"/>
      <c r="J104" s="40">
        <f>45+50</f>
        <v>95</v>
      </c>
      <c r="K104" s="40"/>
      <c r="L104" s="6">
        <v>100</v>
      </c>
      <c r="M104" s="6">
        <v>38.5</v>
      </c>
      <c r="N104" s="59">
        <f t="shared" ref="N104:N125" si="2">(L104-M104)*0.7</f>
        <v>43.05</v>
      </c>
    </row>
    <row r="105" spans="1:16">
      <c r="A105" s="44" t="s">
        <v>338</v>
      </c>
      <c r="B105" s="44"/>
      <c r="C105" s="35">
        <v>45271</v>
      </c>
      <c r="D105" s="35"/>
      <c r="E105" s="4">
        <v>45301</v>
      </c>
      <c r="F105" s="40"/>
      <c r="G105" s="40"/>
      <c r="H105" s="5">
        <v>14.26</v>
      </c>
      <c r="I105" s="102">
        <f>25/30*29</f>
        <v>24.166666666666668</v>
      </c>
      <c r="J105" s="40">
        <f>30+50</f>
        <v>80</v>
      </c>
      <c r="K105" s="40"/>
      <c r="L105" s="6">
        <v>80</v>
      </c>
      <c r="M105" s="6">
        <v>29</v>
      </c>
      <c r="N105" s="59">
        <f t="shared" si="2"/>
        <v>35.699999999999996</v>
      </c>
      <c r="O105" t="s">
        <v>339</v>
      </c>
    </row>
    <row r="106" spans="1:16">
      <c r="A106" s="44" t="s">
        <v>333</v>
      </c>
      <c r="B106" s="44"/>
      <c r="C106" s="35"/>
      <c r="D106" s="35"/>
      <c r="E106" s="4">
        <v>45336</v>
      </c>
      <c r="F106" s="40"/>
      <c r="G106" s="40"/>
      <c r="H106" s="5">
        <v>10</v>
      </c>
      <c r="I106" s="102">
        <v>0</v>
      </c>
      <c r="J106" s="40">
        <v>120</v>
      </c>
      <c r="K106" s="40"/>
      <c r="L106" s="6">
        <v>160</v>
      </c>
      <c r="M106" s="6">
        <v>72</v>
      </c>
      <c r="N106" s="59">
        <f t="shared" si="2"/>
        <v>61.599999999999994</v>
      </c>
    </row>
    <row r="107" spans="1:16">
      <c r="A107" s="44" t="s">
        <v>343</v>
      </c>
      <c r="B107" s="44"/>
      <c r="C107" s="35"/>
      <c r="D107" s="35"/>
      <c r="E107" s="4">
        <v>45336</v>
      </c>
      <c r="F107" s="40"/>
      <c r="G107" s="40"/>
      <c r="H107" s="5">
        <v>10.92</v>
      </c>
      <c r="I107" s="102"/>
      <c r="J107" s="40"/>
      <c r="K107" s="40"/>
      <c r="L107" s="6">
        <v>59</v>
      </c>
      <c r="M107" s="6">
        <v>38</v>
      </c>
      <c r="N107" s="59">
        <f t="shared" si="2"/>
        <v>14.7</v>
      </c>
    </row>
    <row r="108" spans="1:16">
      <c r="A108" s="44" t="s">
        <v>381</v>
      </c>
      <c r="B108" s="44"/>
      <c r="C108" s="35"/>
      <c r="D108" s="35">
        <v>45323</v>
      </c>
      <c r="E108" s="4">
        <v>45323</v>
      </c>
      <c r="F108" s="40"/>
      <c r="G108" s="40"/>
      <c r="H108" s="5">
        <v>10.92</v>
      </c>
      <c r="I108" s="102"/>
      <c r="J108" s="40"/>
      <c r="K108" s="40"/>
      <c r="L108" s="6">
        <v>59</v>
      </c>
      <c r="M108" s="6">
        <v>38</v>
      </c>
      <c r="N108" s="59">
        <f t="shared" si="2"/>
        <v>14.7</v>
      </c>
    </row>
    <row r="109" spans="1:16">
      <c r="A109" s="44" t="s">
        <v>345</v>
      </c>
      <c r="B109" s="44"/>
      <c r="C109" s="35"/>
      <c r="D109" s="35"/>
      <c r="E109" s="4">
        <v>45345</v>
      </c>
      <c r="F109" s="40"/>
      <c r="G109" s="40"/>
      <c r="H109" s="5">
        <v>24.2</v>
      </c>
      <c r="I109" s="102"/>
      <c r="J109" s="40">
        <v>45</v>
      </c>
      <c r="K109" s="40"/>
      <c r="L109" s="6">
        <v>90</v>
      </c>
      <c r="M109" s="6">
        <f>7+9</f>
        <v>16</v>
      </c>
      <c r="N109" s="59">
        <f t="shared" si="2"/>
        <v>51.8</v>
      </c>
    </row>
    <row r="110" spans="1:16">
      <c r="A110" s="44" t="s">
        <v>346</v>
      </c>
      <c r="B110" s="44"/>
      <c r="C110" s="35"/>
      <c r="D110" s="35"/>
      <c r="E110" s="4">
        <v>45334</v>
      </c>
      <c r="F110" s="40"/>
      <c r="G110" s="40"/>
      <c r="H110" s="5">
        <v>12.01</v>
      </c>
      <c r="I110" s="102"/>
      <c r="J110" s="40">
        <v>15</v>
      </c>
      <c r="K110" s="40"/>
      <c r="L110" s="6">
        <v>20</v>
      </c>
      <c r="M110" s="6">
        <v>9</v>
      </c>
      <c r="N110" s="70">
        <f t="shared" si="2"/>
        <v>7.6999999999999993</v>
      </c>
    </row>
    <row r="111" spans="1:16">
      <c r="A111" s="44" t="s">
        <v>361</v>
      </c>
      <c r="B111" s="44"/>
      <c r="C111" s="35"/>
      <c r="D111" s="35">
        <v>45366</v>
      </c>
      <c r="E111" s="4">
        <v>45385</v>
      </c>
      <c r="F111" s="40"/>
      <c r="G111" s="40"/>
      <c r="H111" s="5"/>
      <c r="I111" s="102">
        <f>69/30*18</f>
        <v>41.4</v>
      </c>
      <c r="J111" s="40"/>
      <c r="K111" s="40"/>
      <c r="L111" s="6">
        <v>69</v>
      </c>
      <c r="M111" s="6">
        <v>43</v>
      </c>
      <c r="N111" s="70">
        <f t="shared" si="2"/>
        <v>18.2</v>
      </c>
    </row>
    <row r="112" spans="1:16">
      <c r="A112" s="44" t="s">
        <v>365</v>
      </c>
      <c r="B112" s="44"/>
      <c r="C112" s="35"/>
      <c r="D112" s="35">
        <v>45450</v>
      </c>
      <c r="E112" s="4">
        <v>45456</v>
      </c>
      <c r="F112" s="40"/>
      <c r="G112" s="40"/>
      <c r="H112" s="5"/>
      <c r="I112" s="102">
        <f>47/30*5</f>
        <v>7.833333333333333</v>
      </c>
      <c r="J112" s="40"/>
      <c r="K112" s="40"/>
      <c r="L112" s="6">
        <v>69</v>
      </c>
      <c r="M112" s="6">
        <v>47</v>
      </c>
      <c r="N112" s="59">
        <f t="shared" si="2"/>
        <v>15.399999999999999</v>
      </c>
    </row>
    <row r="113" spans="1:14">
      <c r="A113" s="44" t="s">
        <v>358</v>
      </c>
      <c r="B113" s="44"/>
      <c r="C113" s="35"/>
      <c r="D113" s="35">
        <v>45468</v>
      </c>
      <c r="E113" s="4">
        <v>45468</v>
      </c>
      <c r="F113" s="40"/>
      <c r="G113" s="40"/>
      <c r="H113" s="5">
        <v>12.01</v>
      </c>
      <c r="I113" s="102"/>
      <c r="J113" s="40"/>
      <c r="K113" s="40"/>
      <c r="L113" s="6">
        <v>59</v>
      </c>
      <c r="M113" s="6">
        <v>38</v>
      </c>
      <c r="N113" s="59">
        <f t="shared" si="2"/>
        <v>14.7</v>
      </c>
    </row>
    <row r="114" spans="1:14">
      <c r="A114" s="44" t="s">
        <v>218</v>
      </c>
      <c r="B114" s="44"/>
      <c r="C114" s="35"/>
      <c r="D114" s="35">
        <v>45456</v>
      </c>
      <c r="E114" s="4">
        <v>45456</v>
      </c>
      <c r="F114" s="40"/>
      <c r="G114" s="40"/>
      <c r="H114" s="5">
        <v>10</v>
      </c>
      <c r="I114" s="102"/>
      <c r="J114" s="40">
        <v>45</v>
      </c>
      <c r="K114" s="40"/>
      <c r="L114" s="6">
        <v>80</v>
      </c>
      <c r="M114" s="6">
        <v>27</v>
      </c>
      <c r="N114" s="59">
        <f t="shared" si="2"/>
        <v>37.099999999999994</v>
      </c>
    </row>
    <row r="115" spans="1:14">
      <c r="A115" s="44" t="s">
        <v>366</v>
      </c>
      <c r="B115" s="44"/>
      <c r="C115" s="35"/>
      <c r="D115" s="35">
        <v>45454</v>
      </c>
      <c r="E115" s="4"/>
      <c r="F115" s="40"/>
      <c r="G115" s="40"/>
      <c r="H115" s="5"/>
      <c r="I115" s="102"/>
      <c r="J115" s="40"/>
      <c r="K115" s="40"/>
      <c r="L115" s="6">
        <v>59</v>
      </c>
      <c r="M115" s="6">
        <v>38</v>
      </c>
      <c r="N115" s="59">
        <f t="shared" si="2"/>
        <v>14.7</v>
      </c>
    </row>
    <row r="116" spans="1:14">
      <c r="A116" s="44" t="s">
        <v>64</v>
      </c>
      <c r="B116" s="44"/>
      <c r="C116" s="35"/>
      <c r="D116" s="35">
        <v>45469</v>
      </c>
      <c r="E116" s="4">
        <v>45469</v>
      </c>
      <c r="F116" s="40"/>
      <c r="G116" s="40"/>
      <c r="H116" s="5"/>
      <c r="I116" s="102"/>
      <c r="J116" s="40"/>
      <c r="K116" s="40"/>
      <c r="L116" s="6">
        <v>100</v>
      </c>
      <c r="M116" s="18">
        <v>5</v>
      </c>
      <c r="N116" s="59">
        <f t="shared" si="2"/>
        <v>66.5</v>
      </c>
    </row>
    <row r="117" spans="1:14">
      <c r="A117" s="44" t="s">
        <v>369</v>
      </c>
      <c r="B117" s="44"/>
      <c r="C117" s="35"/>
      <c r="D117" s="35">
        <v>45464</v>
      </c>
      <c r="E117" s="4">
        <v>41811</v>
      </c>
      <c r="F117" s="40"/>
      <c r="G117" s="40"/>
      <c r="H117" s="5">
        <v>24.98</v>
      </c>
      <c r="I117" s="102"/>
      <c r="J117" s="40">
        <v>15</v>
      </c>
      <c r="K117" s="40"/>
      <c r="L117" s="6">
        <v>80</v>
      </c>
      <c r="M117" s="6">
        <v>42.5</v>
      </c>
      <c r="N117" s="59">
        <f t="shared" si="2"/>
        <v>26.25</v>
      </c>
    </row>
    <row r="118" spans="1:14">
      <c r="A118" s="44" t="s">
        <v>370</v>
      </c>
      <c r="B118" s="44"/>
      <c r="C118" s="35"/>
      <c r="D118" s="35">
        <v>45444</v>
      </c>
      <c r="E118" s="4">
        <v>41791</v>
      </c>
      <c r="F118" s="40"/>
      <c r="G118" s="40"/>
      <c r="H118" s="5">
        <v>12.98</v>
      </c>
      <c r="I118" s="102"/>
      <c r="J118" s="40">
        <v>30</v>
      </c>
      <c r="K118" s="40"/>
      <c r="L118" s="6">
        <v>65</v>
      </c>
      <c r="M118" s="6">
        <v>18</v>
      </c>
      <c r="N118" s="59">
        <f t="shared" si="2"/>
        <v>32.9</v>
      </c>
    </row>
    <row r="119" spans="1:14">
      <c r="A119" s="44" t="s">
        <v>375</v>
      </c>
      <c r="B119" s="44"/>
      <c r="C119" s="35"/>
      <c r="D119" s="35">
        <v>45471</v>
      </c>
      <c r="E119" s="35">
        <v>45471</v>
      </c>
      <c r="F119" s="40"/>
      <c r="G119" s="40"/>
      <c r="H119" s="5">
        <f>10+12.01</f>
        <v>22.009999999999998</v>
      </c>
      <c r="I119" s="102"/>
      <c r="J119" s="40">
        <v>30</v>
      </c>
      <c r="K119" s="40"/>
      <c r="L119" s="6">
        <v>90</v>
      </c>
      <c r="M119" s="18">
        <f>38.5+1+18</f>
        <v>57.5</v>
      </c>
      <c r="N119" s="70">
        <f t="shared" si="2"/>
        <v>22.75</v>
      </c>
    </row>
    <row r="120" spans="1:14">
      <c r="A120" s="44" t="s">
        <v>83</v>
      </c>
      <c r="B120" s="44"/>
      <c r="C120" s="35"/>
      <c r="D120" s="35">
        <v>45482</v>
      </c>
      <c r="E120" s="35">
        <v>45482</v>
      </c>
      <c r="F120" s="40"/>
      <c r="G120" s="40"/>
      <c r="H120" s="5"/>
      <c r="I120" s="102"/>
      <c r="J120" s="40"/>
      <c r="K120" s="40"/>
      <c r="L120" s="6">
        <v>69</v>
      </c>
      <c r="M120" s="18">
        <v>43</v>
      </c>
      <c r="N120" s="70">
        <f t="shared" si="2"/>
        <v>18.2</v>
      </c>
    </row>
    <row r="121" spans="1:14">
      <c r="A121" s="44" t="s">
        <v>383</v>
      </c>
      <c r="B121" s="44"/>
      <c r="C121" s="35"/>
      <c r="D121" s="35">
        <v>45434</v>
      </c>
      <c r="E121" s="35">
        <v>45513</v>
      </c>
      <c r="F121" s="40"/>
      <c r="G121" s="40"/>
      <c r="H121" s="5">
        <v>14.58</v>
      </c>
      <c r="I121" s="102"/>
      <c r="J121" s="40"/>
      <c r="K121" s="40"/>
      <c r="L121" s="6">
        <v>69</v>
      </c>
      <c r="M121" s="18">
        <v>43</v>
      </c>
      <c r="N121" s="70">
        <f t="shared" si="2"/>
        <v>18.2</v>
      </c>
    </row>
    <row r="122" spans="1:14">
      <c r="A122" s="44" t="s">
        <v>384</v>
      </c>
      <c r="B122" s="44"/>
      <c r="C122" s="35"/>
      <c r="D122" s="35"/>
      <c r="E122" s="35">
        <v>45513</v>
      </c>
      <c r="F122" s="40"/>
      <c r="G122" s="40"/>
      <c r="H122" s="5"/>
      <c r="I122" s="102"/>
      <c r="J122" s="40">
        <v>60</v>
      </c>
      <c r="K122" s="40"/>
      <c r="L122" s="6">
        <v>115</v>
      </c>
      <c r="M122" s="6">
        <v>37</v>
      </c>
      <c r="N122" s="70">
        <f t="shared" si="2"/>
        <v>54.599999999999994</v>
      </c>
    </row>
    <row r="123" spans="1:14">
      <c r="A123" s="44" t="s">
        <v>389</v>
      </c>
      <c r="B123" s="44"/>
      <c r="C123" s="35"/>
      <c r="D123" s="35">
        <v>45574</v>
      </c>
      <c r="E123" s="35">
        <v>45574</v>
      </c>
      <c r="F123" s="40"/>
      <c r="G123" s="40"/>
      <c r="H123" s="5"/>
      <c r="I123" s="102"/>
      <c r="J123" s="40"/>
      <c r="K123" s="40"/>
      <c r="L123" s="6">
        <v>10</v>
      </c>
      <c r="M123" s="6">
        <v>1</v>
      </c>
      <c r="N123" s="59">
        <f t="shared" si="2"/>
        <v>6.3</v>
      </c>
    </row>
    <row r="124" spans="1:14">
      <c r="A124" s="44" t="s">
        <v>397</v>
      </c>
      <c r="B124" s="44"/>
      <c r="C124" s="35"/>
      <c r="D124" s="35">
        <v>45510</v>
      </c>
      <c r="E124" s="35">
        <v>45574</v>
      </c>
      <c r="F124" s="40"/>
      <c r="G124" s="40"/>
      <c r="H124" s="5">
        <v>31.89</v>
      </c>
      <c r="I124" s="102">
        <f>79/30*63*0.5</f>
        <v>82.95</v>
      </c>
      <c r="J124" s="40">
        <v>60</v>
      </c>
      <c r="K124" s="40"/>
      <c r="L124" s="6">
        <v>174</v>
      </c>
      <c r="M124" s="6">
        <v>79</v>
      </c>
      <c r="N124" s="59">
        <f t="shared" si="2"/>
        <v>66.5</v>
      </c>
    </row>
    <row r="125" spans="1:14">
      <c r="A125" s="44" t="s">
        <v>398</v>
      </c>
      <c r="B125" s="44"/>
      <c r="C125" s="35"/>
      <c r="D125" s="35">
        <v>45516</v>
      </c>
      <c r="E125" s="35">
        <v>45583</v>
      </c>
      <c r="F125" s="40"/>
      <c r="G125" s="40"/>
      <c r="H125" s="5"/>
      <c r="I125" s="102">
        <f>56.5/30*66*0.5</f>
        <v>62.15</v>
      </c>
      <c r="J125" s="40">
        <v>75</v>
      </c>
      <c r="K125" s="40"/>
      <c r="L125" s="6">
        <v>140</v>
      </c>
      <c r="M125" s="6">
        <v>56.5</v>
      </c>
      <c r="N125" s="59">
        <f t="shared" si="2"/>
        <v>58.449999999999996</v>
      </c>
    </row>
    <row r="126" spans="1:14">
      <c r="A126" s="44" t="s">
        <v>390</v>
      </c>
      <c r="B126" s="44"/>
      <c r="C126" s="35"/>
      <c r="D126" s="35">
        <v>45573</v>
      </c>
      <c r="E126" s="35">
        <v>45621</v>
      </c>
      <c r="F126" s="40"/>
      <c r="G126" s="40"/>
      <c r="H126" s="5">
        <v>16.940000000000001</v>
      </c>
      <c r="I126" s="102">
        <f>47.5/30*47</f>
        <v>74.416666666666657</v>
      </c>
      <c r="J126" s="40">
        <v>60</v>
      </c>
      <c r="K126" s="40"/>
      <c r="L126" s="6">
        <v>130</v>
      </c>
      <c r="M126" s="6">
        <v>63.5</v>
      </c>
      <c r="N126" s="59">
        <f>(L126-M126)*0.7</f>
        <v>46.55</v>
      </c>
    </row>
    <row r="127" spans="1:14">
      <c r="A127" s="44" t="s">
        <v>406</v>
      </c>
      <c r="B127" s="44"/>
      <c r="C127" s="35">
        <v>45624</v>
      </c>
      <c r="D127" s="35">
        <v>45631</v>
      </c>
      <c r="E127" s="35">
        <v>45631</v>
      </c>
      <c r="F127" s="40"/>
      <c r="G127" s="40"/>
      <c r="H127" s="5">
        <v>13.98</v>
      </c>
      <c r="I127" s="102"/>
      <c r="J127" s="40">
        <v>15</v>
      </c>
      <c r="K127" s="40"/>
      <c r="L127" s="6">
        <v>59</v>
      </c>
      <c r="M127" s="6">
        <v>38</v>
      </c>
      <c r="N127" s="59">
        <f>(L127-M127)*0.7</f>
        <v>14.7</v>
      </c>
    </row>
    <row r="128" spans="1:14">
      <c r="A128" s="44" t="s">
        <v>410</v>
      </c>
      <c r="B128" s="44"/>
      <c r="C128" s="35"/>
      <c r="D128" s="35"/>
      <c r="E128" s="35">
        <v>45613</v>
      </c>
      <c r="F128" s="40"/>
      <c r="G128" s="40"/>
      <c r="H128" s="5">
        <v>10</v>
      </c>
      <c r="I128" s="102">
        <f>-(14*14+14/30*13)</f>
        <v>-202.06666666666666</v>
      </c>
      <c r="J128" s="40">
        <v>15</v>
      </c>
      <c r="K128" s="40"/>
      <c r="L128" s="6">
        <v>30</v>
      </c>
      <c r="M128" s="6">
        <v>10</v>
      </c>
      <c r="N128" s="59">
        <f t="shared" ref="N128:N134" si="3">(L128-M128)*0.7</f>
        <v>14</v>
      </c>
    </row>
    <row r="129" spans="1:14">
      <c r="A129" s="44" t="s">
        <v>408</v>
      </c>
      <c r="B129" s="44"/>
      <c r="C129" s="35"/>
      <c r="D129" s="35">
        <v>45642</v>
      </c>
      <c r="E129" s="35">
        <v>45706</v>
      </c>
      <c r="F129" s="40"/>
      <c r="G129" s="40"/>
      <c r="H129" s="5">
        <v>31.21</v>
      </c>
      <c r="I129" s="102">
        <f>50/30*62</f>
        <v>103.33333333333334</v>
      </c>
      <c r="J129" s="40">
        <f>15*7</f>
        <v>105</v>
      </c>
      <c r="K129" s="40"/>
      <c r="L129" s="6">
        <v>210</v>
      </c>
      <c r="M129" s="6">
        <v>94</v>
      </c>
      <c r="N129" s="59">
        <f t="shared" si="3"/>
        <v>81.199999999999989</v>
      </c>
    </row>
    <row r="130" spans="1:14">
      <c r="A130" s="44" t="s">
        <v>402</v>
      </c>
      <c r="B130" s="44"/>
      <c r="C130" s="35"/>
      <c r="D130" s="35">
        <v>45637</v>
      </c>
      <c r="E130" s="35">
        <v>45698</v>
      </c>
      <c r="F130" s="40"/>
      <c r="G130" s="40"/>
      <c r="H130" s="5">
        <v>13.98</v>
      </c>
      <c r="I130" s="102">
        <f>45/30*59</f>
        <v>88.5</v>
      </c>
      <c r="J130" s="40">
        <v>30</v>
      </c>
      <c r="K130" s="40"/>
      <c r="L130" s="6">
        <v>120</v>
      </c>
      <c r="M130" s="6">
        <v>45</v>
      </c>
      <c r="N130" s="59">
        <f t="shared" si="3"/>
        <v>52.5</v>
      </c>
    </row>
    <row r="131" spans="1:14">
      <c r="A131" s="44" t="s">
        <v>392</v>
      </c>
      <c r="B131" s="44"/>
      <c r="C131" s="35"/>
      <c r="D131" s="35"/>
      <c r="E131" s="35">
        <v>45694</v>
      </c>
      <c r="F131" s="40"/>
      <c r="G131" s="40"/>
      <c r="H131" s="5">
        <v>31.89</v>
      </c>
      <c r="I131" s="102" t="s">
        <v>414</v>
      </c>
      <c r="J131" s="40">
        <v>75</v>
      </c>
      <c r="K131" s="40"/>
      <c r="L131" s="6">
        <v>145</v>
      </c>
      <c r="M131" s="6">
        <v>72</v>
      </c>
      <c r="N131" s="59">
        <f t="shared" si="3"/>
        <v>51.099999999999994</v>
      </c>
    </row>
    <row r="132" spans="1:14">
      <c r="A132" s="44" t="s">
        <v>413</v>
      </c>
      <c r="B132" s="44"/>
      <c r="C132" s="35"/>
      <c r="D132" s="35"/>
      <c r="E132" s="35">
        <v>45730</v>
      </c>
      <c r="F132" s="40"/>
      <c r="G132" s="40"/>
      <c r="H132" s="5">
        <v>15.34</v>
      </c>
      <c r="I132" s="102"/>
      <c r="J132" s="40"/>
      <c r="K132" s="40"/>
      <c r="L132" s="6">
        <v>80</v>
      </c>
      <c r="M132" s="6">
        <v>28</v>
      </c>
      <c r="N132" s="59">
        <f t="shared" si="3"/>
        <v>36.4</v>
      </c>
    </row>
    <row r="133" spans="1:14">
      <c r="A133" s="44" t="s">
        <v>418</v>
      </c>
      <c r="B133" s="44"/>
      <c r="C133" s="35"/>
      <c r="D133" s="35"/>
      <c r="E133" s="35">
        <v>45737</v>
      </c>
      <c r="F133" s="40"/>
      <c r="G133" s="40"/>
      <c r="H133" s="5">
        <v>32.17</v>
      </c>
      <c r="I133" s="102"/>
      <c r="J133" s="40">
        <v>90</v>
      </c>
      <c r="K133" s="40"/>
      <c r="L133" s="6">
        <v>150</v>
      </c>
      <c r="M133" s="6">
        <v>43</v>
      </c>
      <c r="N133" s="59">
        <f t="shared" si="3"/>
        <v>74.899999999999991</v>
      </c>
    </row>
    <row r="134" spans="1:14">
      <c r="A134" s="44" t="s">
        <v>417</v>
      </c>
      <c r="B134" s="44"/>
      <c r="C134" s="35"/>
      <c r="D134" s="35"/>
      <c r="E134" s="35">
        <v>45687</v>
      </c>
      <c r="F134" s="40"/>
      <c r="G134" s="40"/>
      <c r="H134" s="5"/>
      <c r="I134" s="102"/>
      <c r="J134" s="40">
        <v>40</v>
      </c>
      <c r="K134" s="40"/>
      <c r="L134" s="6">
        <v>59</v>
      </c>
      <c r="M134" s="6">
        <v>43</v>
      </c>
      <c r="N134" s="59">
        <f t="shared" si="3"/>
        <v>11.2</v>
      </c>
    </row>
    <row r="135" spans="1:14">
      <c r="A135" s="44" t="s">
        <v>423</v>
      </c>
      <c r="B135" s="44"/>
      <c r="C135" s="35"/>
      <c r="D135" s="35"/>
      <c r="E135" s="35">
        <v>45714</v>
      </c>
      <c r="F135" s="40"/>
      <c r="G135" s="40"/>
      <c r="H135" s="5"/>
      <c r="I135" s="102"/>
      <c r="J135" s="40"/>
      <c r="K135" s="40"/>
      <c r="L135" s="6">
        <v>50</v>
      </c>
      <c r="M135" s="6">
        <v>41</v>
      </c>
      <c r="N135" s="59">
        <f>(L135-M135)*0.7</f>
        <v>6.3</v>
      </c>
    </row>
    <row r="136" spans="1:14">
      <c r="A136" s="44" t="s">
        <v>424</v>
      </c>
      <c r="B136" s="44"/>
      <c r="C136" s="35"/>
      <c r="D136" s="35"/>
      <c r="E136" s="35">
        <v>45750</v>
      </c>
      <c r="F136" s="40"/>
      <c r="G136" s="40"/>
      <c r="H136" s="5">
        <v>15.34</v>
      </c>
      <c r="I136" s="102"/>
      <c r="J136" s="40">
        <v>30</v>
      </c>
      <c r="K136" s="40"/>
      <c r="L136" s="6">
        <v>45</v>
      </c>
      <c r="M136" s="6">
        <v>7</v>
      </c>
      <c r="N136" s="59">
        <f>(L136-M136)*0.7</f>
        <v>26.599999999999998</v>
      </c>
    </row>
    <row r="137" spans="1:14">
      <c r="A137" s="44" t="s">
        <v>425</v>
      </c>
      <c r="B137" s="44"/>
      <c r="C137" s="35"/>
      <c r="D137" s="35"/>
      <c r="E137" s="35">
        <v>45765</v>
      </c>
      <c r="F137" s="40"/>
      <c r="G137" s="40"/>
      <c r="H137" s="5">
        <v>14.54</v>
      </c>
      <c r="I137" s="102"/>
      <c r="J137" s="40"/>
      <c r="K137" s="40"/>
      <c r="L137" s="6">
        <v>220</v>
      </c>
      <c r="M137" s="6">
        <v>99</v>
      </c>
      <c r="N137" s="59">
        <f>(L137-M137)*0.7</f>
        <v>84.699999999999989</v>
      </c>
    </row>
    <row r="138" spans="1:14">
      <c r="A138" s="10" t="s">
        <v>441</v>
      </c>
      <c r="B138" s="44"/>
      <c r="C138" s="35"/>
      <c r="D138" s="35"/>
      <c r="E138" s="35">
        <v>45853</v>
      </c>
      <c r="F138" s="40"/>
      <c r="G138" s="40"/>
      <c r="H138" s="5">
        <v>12.44</v>
      </c>
      <c r="I138" s="102"/>
      <c r="J138" s="40"/>
      <c r="K138" s="40"/>
      <c r="L138" s="6">
        <v>59</v>
      </c>
      <c r="M138" s="6">
        <v>38</v>
      </c>
      <c r="N138" s="59">
        <f>(L138-M138)*0.7</f>
        <v>14.7</v>
      </c>
    </row>
    <row r="139" spans="1:14">
      <c r="A139" s="72"/>
      <c r="B139" s="76"/>
      <c r="C139" s="36"/>
      <c r="D139" s="36"/>
      <c r="E139" s="36"/>
      <c r="F139" s="71"/>
      <c r="G139" s="71"/>
      <c r="H139" s="16"/>
      <c r="I139" s="109"/>
      <c r="J139" s="71"/>
      <c r="K139" s="71"/>
      <c r="L139" s="17"/>
      <c r="M139" s="18"/>
      <c r="N139" s="70"/>
    </row>
    <row r="140" spans="1:14">
      <c r="C140" s="36"/>
      <c r="D140" s="36"/>
      <c r="F140" s="28"/>
      <c r="G140" s="28"/>
      <c r="H140" s="30"/>
      <c r="I140" s="30"/>
      <c r="M140" s="62" t="s">
        <v>4</v>
      </c>
      <c r="N140" s="18">
        <f>SUM(N2:N138)</f>
        <v>5085.9299999999985</v>
      </c>
    </row>
    <row r="141" spans="1:14">
      <c r="C141" s="36"/>
      <c r="D141" s="36"/>
      <c r="F141" s="28"/>
      <c r="G141" s="28"/>
      <c r="H141" s="30"/>
      <c r="I141" s="104"/>
      <c r="M141" s="61" t="s">
        <v>251</v>
      </c>
      <c r="N141" s="6">
        <f>N140+M149</f>
        <v>5085.9299999999985</v>
      </c>
    </row>
    <row r="142" spans="1:14">
      <c r="C142" s="36"/>
      <c r="D142" s="36"/>
      <c r="F142" s="28"/>
      <c r="G142" s="28"/>
      <c r="H142" s="30"/>
      <c r="I142" s="104"/>
    </row>
    <row r="144" spans="1:14">
      <c r="A144" s="28"/>
      <c r="B144" s="28"/>
      <c r="E144" s="15"/>
      <c r="F144" s="1"/>
      <c r="G144" s="1"/>
      <c r="H144" s="1"/>
      <c r="J144" s="1"/>
      <c r="K144" s="1"/>
      <c r="L144" s="1"/>
      <c r="M144" s="1"/>
      <c r="N144" s="29"/>
    </row>
    <row r="145" spans="8:16">
      <c r="L145" s="1"/>
      <c r="M145" s="1"/>
    </row>
    <row r="146" spans="8:16">
      <c r="H146" s="30"/>
      <c r="K146" t="s">
        <v>442</v>
      </c>
      <c r="L146" s="1">
        <v>-10</v>
      </c>
      <c r="M146"/>
    </row>
    <row r="147" spans="8:16">
      <c r="K147" t="s">
        <v>443</v>
      </c>
      <c r="L147" s="69">
        <v>-86.4</v>
      </c>
      <c r="M147" t="s">
        <v>444</v>
      </c>
      <c r="P147" s="42"/>
    </row>
    <row r="148" spans="8:16">
      <c r="K148" t="s">
        <v>445</v>
      </c>
      <c r="L148" s="1">
        <v>-13.54</v>
      </c>
    </row>
    <row r="149" spans="8:16">
      <c r="L149" s="1"/>
      <c r="N149" s="108"/>
      <c r="P149" s="42"/>
    </row>
    <row r="150" spans="8:16">
      <c r="L150" s="1"/>
    </row>
    <row r="151" spans="8:16">
      <c r="L151" s="1"/>
      <c r="N151" s="1"/>
      <c r="P151" s="42"/>
    </row>
    <row r="152" spans="8:16">
      <c r="L152" s="1"/>
    </row>
    <row r="153" spans="8:16">
      <c r="L153" s="1"/>
    </row>
  </sheetData>
  <autoFilter ref="A1:P141">
    <sortState ref="A2:P88">
      <sortCondition ref="B1:B88"/>
    </sortState>
  </autoFilter>
  <pageMargins left="0.7" right="0.7" top="0.75" bottom="0.75" header="0.3" footer="0.3"/>
  <pageSetup paperSize="9" orientation="portrait" r:id="rId1"/>
</worksheet>
</file>

<file path=xl/worksheets/sheet100.xml><?xml version="1.0" encoding="utf-8"?>
<worksheet xmlns="http://schemas.openxmlformats.org/spreadsheetml/2006/main" xmlns:r="http://schemas.openxmlformats.org/officeDocument/2006/relationships">
  <dimension ref="A1:P152"/>
  <sheetViews>
    <sheetView topLeftCell="C132" workbookViewId="0">
      <selection activeCell="I148" sqref="I148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0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90</v>
      </c>
      <c r="M3" s="61">
        <v>25</v>
      </c>
      <c r="N3" s="6">
        <f t="shared" si="0"/>
        <v>45.5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27</v>
      </c>
      <c r="B9" s="2"/>
      <c r="C9" s="4">
        <v>42656</v>
      </c>
      <c r="D9" s="4"/>
      <c r="E9" s="4">
        <v>42705</v>
      </c>
      <c r="F9" s="5"/>
      <c r="G9" s="49"/>
      <c r="H9" s="5">
        <v>8.17</v>
      </c>
      <c r="I9" s="102">
        <f>M9/30*47</f>
        <v>39.166666666666671</v>
      </c>
      <c r="J9" s="5"/>
      <c r="K9" s="5"/>
      <c r="L9" s="6">
        <v>40</v>
      </c>
      <c r="M9" s="62">
        <v>25</v>
      </c>
      <c r="N9" s="18">
        <f t="shared" si="0"/>
        <v>10.5</v>
      </c>
    </row>
    <row r="10" spans="1:15">
      <c r="A10" s="2" t="s">
        <v>29</v>
      </c>
      <c r="B10" s="2"/>
      <c r="C10" s="4">
        <v>42683</v>
      </c>
      <c r="D10" s="4"/>
      <c r="E10" s="4">
        <v>42718</v>
      </c>
      <c r="F10" s="5"/>
      <c r="G10" s="49"/>
      <c r="H10" s="5">
        <v>8.9700000000000006</v>
      </c>
      <c r="I10" s="102">
        <f>M10/30*35</f>
        <v>42</v>
      </c>
      <c r="J10" s="5"/>
      <c r="K10" s="5"/>
      <c r="L10" s="6">
        <f>105</f>
        <v>105</v>
      </c>
      <c r="M10" s="62">
        <v>36</v>
      </c>
      <c r="N10" s="18">
        <f t="shared" si="0"/>
        <v>48.3</v>
      </c>
    </row>
    <row r="11" spans="1:15">
      <c r="A11" s="2" t="s">
        <v>28</v>
      </c>
      <c r="B11" s="2"/>
      <c r="C11" s="4">
        <v>42711</v>
      </c>
      <c r="D11" s="4"/>
      <c r="E11" s="4">
        <v>42734</v>
      </c>
      <c r="F11" s="5"/>
      <c r="G11" s="49"/>
      <c r="H11" s="5">
        <v>8.17</v>
      </c>
      <c r="I11" s="102">
        <f>M11/30*23</f>
        <v>19.166666666666668</v>
      </c>
      <c r="J11" s="5"/>
      <c r="K11" s="5"/>
      <c r="L11" s="6">
        <v>40</v>
      </c>
      <c r="M11" s="62">
        <v>25</v>
      </c>
      <c r="N11" s="18">
        <f t="shared" si="0"/>
        <v>10.5</v>
      </c>
    </row>
    <row r="12" spans="1:15">
      <c r="A12" s="2" t="s">
        <v>31</v>
      </c>
      <c r="B12" s="2"/>
      <c r="C12" s="4">
        <v>42735</v>
      </c>
      <c r="D12" s="4"/>
      <c r="E12" s="4">
        <v>42782</v>
      </c>
      <c r="F12" s="5">
        <v>50</v>
      </c>
      <c r="G12" s="49"/>
      <c r="H12" s="5">
        <v>20.63</v>
      </c>
      <c r="I12" s="102">
        <f>M12/30*46</f>
        <v>42.933333333333337</v>
      </c>
      <c r="J12" s="5"/>
      <c r="K12" s="5"/>
      <c r="L12" s="6">
        <v>92</v>
      </c>
      <c r="M12" s="61">
        <v>28</v>
      </c>
      <c r="N12" s="6">
        <f t="shared" si="0"/>
        <v>44.8</v>
      </c>
    </row>
    <row r="13" spans="1:15">
      <c r="A13" s="2" t="s">
        <v>32</v>
      </c>
      <c r="B13" s="2"/>
      <c r="C13" s="4">
        <v>42857</v>
      </c>
      <c r="D13" s="4"/>
      <c r="E13" s="4">
        <v>42866</v>
      </c>
      <c r="F13" s="5"/>
      <c r="G13" s="49"/>
      <c r="H13" s="5"/>
      <c r="I13" s="102">
        <f>23/30*9</f>
        <v>6.9</v>
      </c>
      <c r="J13" s="5">
        <f>60*0.7</f>
        <v>42</v>
      </c>
      <c r="K13" s="5"/>
      <c r="L13" s="6">
        <v>60</v>
      </c>
      <c r="M13" s="61">
        <v>23</v>
      </c>
      <c r="N13" s="6">
        <f t="shared" si="0"/>
        <v>25.9</v>
      </c>
    </row>
    <row r="14" spans="1:15">
      <c r="A14" s="2" t="s">
        <v>37</v>
      </c>
      <c r="B14" s="2"/>
      <c r="C14" s="4">
        <v>42891</v>
      </c>
      <c r="D14" s="4"/>
      <c r="E14" s="4">
        <v>42915</v>
      </c>
      <c r="F14" s="5"/>
      <c r="G14" s="49"/>
      <c r="H14" s="5">
        <v>6.83</v>
      </c>
      <c r="I14" s="102">
        <f>24/30*24</f>
        <v>19.200000000000003</v>
      </c>
      <c r="J14" s="5"/>
      <c r="K14" s="5"/>
      <c r="L14" s="6">
        <f>69+70</f>
        <v>139</v>
      </c>
      <c r="M14" s="61">
        <f>38+7+18</f>
        <v>63</v>
      </c>
      <c r="N14" s="6">
        <f t="shared" si="0"/>
        <v>53.199999999999996</v>
      </c>
    </row>
    <row r="15" spans="1:15">
      <c r="A15" s="2" t="s">
        <v>39</v>
      </c>
      <c r="B15" s="2"/>
      <c r="C15" s="4">
        <v>43081</v>
      </c>
      <c r="D15" s="4"/>
      <c r="E15" s="4">
        <v>43109</v>
      </c>
      <c r="F15" s="5"/>
      <c r="G15" s="49"/>
      <c r="H15" s="5">
        <v>9.83</v>
      </c>
      <c r="I15" s="102">
        <f>36/30*28</f>
        <v>33.6</v>
      </c>
      <c r="J15" s="5"/>
      <c r="K15" s="5"/>
      <c r="L15" s="6">
        <v>120</v>
      </c>
      <c r="M15" s="61">
        <v>36</v>
      </c>
      <c r="N15" s="6">
        <f t="shared" si="0"/>
        <v>58.8</v>
      </c>
    </row>
    <row r="16" spans="1:15">
      <c r="A16" s="22" t="s">
        <v>56</v>
      </c>
      <c r="B16" s="22"/>
      <c r="C16" s="4">
        <v>43361</v>
      </c>
      <c r="D16" s="4"/>
      <c r="E16" s="4">
        <v>43132</v>
      </c>
      <c r="F16" s="5"/>
      <c r="G16" s="49"/>
      <c r="H16" s="5">
        <v>14.11</v>
      </c>
      <c r="I16" s="102">
        <f>25*4+25/30*12</f>
        <v>110</v>
      </c>
      <c r="J16" s="5"/>
      <c r="K16" s="5"/>
      <c r="L16" s="6">
        <v>75</v>
      </c>
      <c r="M16" s="61">
        <v>25</v>
      </c>
      <c r="N16" s="6">
        <f t="shared" si="0"/>
        <v>35</v>
      </c>
    </row>
    <row r="17" spans="1:15">
      <c r="A17" s="2" t="s">
        <v>44</v>
      </c>
      <c r="B17" s="2"/>
      <c r="C17" s="4">
        <v>43196</v>
      </c>
      <c r="D17" s="4"/>
      <c r="E17" s="4">
        <v>43250</v>
      </c>
      <c r="F17" s="5"/>
      <c r="G17" s="49"/>
      <c r="H17" s="5">
        <v>13.78</v>
      </c>
      <c r="I17" s="102">
        <f>25*24/30+25</f>
        <v>45</v>
      </c>
      <c r="J17" s="5"/>
      <c r="K17" s="5"/>
      <c r="L17" s="6">
        <v>11</v>
      </c>
      <c r="M17" s="61">
        <v>25</v>
      </c>
      <c r="N17" s="6">
        <v>9.7999999999999989</v>
      </c>
    </row>
    <row r="18" spans="1:15">
      <c r="A18" s="22" t="s">
        <v>47</v>
      </c>
      <c r="B18" s="22"/>
      <c r="C18" s="4">
        <v>43355</v>
      </c>
      <c r="D18" s="4"/>
      <c r="E18" s="4">
        <v>43277</v>
      </c>
      <c r="F18" s="5"/>
      <c r="G18" s="49"/>
      <c r="H18" s="5">
        <v>19.98</v>
      </c>
      <c r="I18" s="102">
        <f>36*2+36/30*16</f>
        <v>91.2</v>
      </c>
      <c r="J18" s="5"/>
      <c r="K18" s="5"/>
      <c r="L18" s="6">
        <v>105</v>
      </c>
      <c r="M18" s="61">
        <v>36</v>
      </c>
      <c r="N18" s="6">
        <f t="shared" si="0"/>
        <v>48.3</v>
      </c>
    </row>
    <row r="19" spans="1:15">
      <c r="A19" s="22" t="s">
        <v>48</v>
      </c>
      <c r="B19" s="22"/>
      <c r="C19" s="4">
        <v>43367</v>
      </c>
      <c r="D19" s="4"/>
      <c r="E19" s="4">
        <v>43284</v>
      </c>
      <c r="F19" s="5"/>
      <c r="G19" s="49"/>
      <c r="H19" s="5">
        <v>9.1</v>
      </c>
      <c r="I19" s="102">
        <f>25+25/30*27</f>
        <v>47.5</v>
      </c>
      <c r="J19" s="5"/>
      <c r="K19" s="5"/>
      <c r="L19" s="6">
        <v>75</v>
      </c>
      <c r="M19" s="61">
        <v>25</v>
      </c>
      <c r="N19" s="6">
        <f t="shared" si="0"/>
        <v>35</v>
      </c>
    </row>
    <row r="20" spans="1:15">
      <c r="A20" s="2" t="s">
        <v>45</v>
      </c>
      <c r="B20" s="2"/>
      <c r="C20" s="4"/>
      <c r="D20" s="4"/>
      <c r="E20" s="4">
        <v>43286</v>
      </c>
      <c r="F20" s="5"/>
      <c r="G20" s="49"/>
      <c r="H20" s="5">
        <v>11.56</v>
      </c>
      <c r="I20" s="102"/>
      <c r="J20" s="5"/>
      <c r="K20" s="5"/>
      <c r="L20" s="6">
        <v>150</v>
      </c>
      <c r="M20" s="61">
        <v>76</v>
      </c>
      <c r="N20" s="6">
        <f t="shared" si="0"/>
        <v>51.8</v>
      </c>
      <c r="O20" s="20"/>
    </row>
    <row r="21" spans="1:15">
      <c r="A21" s="22" t="s">
        <v>49</v>
      </c>
      <c r="B21" s="22"/>
      <c r="C21" s="4">
        <v>43367</v>
      </c>
      <c r="D21" s="4"/>
      <c r="E21" s="4">
        <v>43291</v>
      </c>
      <c r="F21" s="5"/>
      <c r="G21" s="49"/>
      <c r="H21" s="5">
        <v>10.039999999999999</v>
      </c>
      <c r="I21" s="102">
        <f>50+25/30*14</f>
        <v>61.666666666666671</v>
      </c>
      <c r="J21" s="5"/>
      <c r="K21" s="5"/>
      <c r="L21" s="6">
        <v>50</v>
      </c>
      <c r="M21" s="61">
        <v>22</v>
      </c>
      <c r="N21" s="18">
        <f t="shared" si="0"/>
        <v>19.599999999999998</v>
      </c>
    </row>
    <row r="22" spans="1:15">
      <c r="A22" s="22" t="s">
        <v>51</v>
      </c>
      <c r="B22" s="22"/>
      <c r="C22" s="4">
        <v>43358</v>
      </c>
      <c r="D22" s="4"/>
      <c r="E22" s="4">
        <v>43291</v>
      </c>
      <c r="F22" s="5"/>
      <c r="G22" s="49"/>
      <c r="H22" s="5">
        <v>10.039999999999999</v>
      </c>
      <c r="I22" s="102">
        <f>50+25/30*5</f>
        <v>54.166666666666664</v>
      </c>
      <c r="J22" s="5"/>
      <c r="K22" s="5"/>
      <c r="L22" s="6">
        <v>75</v>
      </c>
      <c r="M22" s="61">
        <v>25</v>
      </c>
      <c r="N22" s="6">
        <f t="shared" si="0"/>
        <v>35</v>
      </c>
    </row>
    <row r="23" spans="1:15">
      <c r="A23" s="22" t="s">
        <v>52</v>
      </c>
      <c r="B23" s="22"/>
      <c r="C23" s="4">
        <v>43367</v>
      </c>
      <c r="D23" s="4"/>
      <c r="E23" s="4">
        <v>43308</v>
      </c>
      <c r="F23" s="5"/>
      <c r="G23" s="49"/>
      <c r="H23" s="5">
        <v>10.86</v>
      </c>
      <c r="I23" s="102">
        <f>25+25/30*27</f>
        <v>47.5</v>
      </c>
      <c r="J23" s="5"/>
      <c r="K23" s="5"/>
      <c r="L23" s="6">
        <v>75</v>
      </c>
      <c r="M23" s="61">
        <v>25</v>
      </c>
      <c r="N23" s="27">
        <f t="shared" si="0"/>
        <v>35</v>
      </c>
    </row>
    <row r="24" spans="1:15">
      <c r="A24" s="22" t="s">
        <v>50</v>
      </c>
      <c r="B24" s="22"/>
      <c r="C24" s="4">
        <v>43367</v>
      </c>
      <c r="D24" s="4"/>
      <c r="E24" s="4">
        <v>43312</v>
      </c>
      <c r="F24" s="5"/>
      <c r="G24" s="49"/>
      <c r="H24" s="5">
        <v>10.86</v>
      </c>
      <c r="I24" s="102">
        <f>25+25/30*24</f>
        <v>45</v>
      </c>
      <c r="J24" s="5"/>
      <c r="K24" s="5"/>
      <c r="L24" s="6">
        <v>70</v>
      </c>
      <c r="M24" s="61">
        <v>25</v>
      </c>
      <c r="N24" s="6">
        <f t="shared" si="0"/>
        <v>31.499999999999996</v>
      </c>
    </row>
    <row r="25" spans="1:15">
      <c r="A25" s="22" t="s">
        <v>55</v>
      </c>
      <c r="B25" s="22"/>
      <c r="C25" s="4">
        <v>43363</v>
      </c>
      <c r="D25" s="4"/>
      <c r="E25" s="4">
        <v>43440</v>
      </c>
      <c r="F25" s="5"/>
      <c r="G25" s="49"/>
      <c r="H25" s="5">
        <v>14.11</v>
      </c>
      <c r="I25" s="102">
        <f>25*2+25*16/30</f>
        <v>63.333333333333336</v>
      </c>
      <c r="J25" s="5"/>
      <c r="K25" s="5"/>
      <c r="L25" s="6">
        <v>75</v>
      </c>
      <c r="M25" s="61">
        <v>25</v>
      </c>
      <c r="N25" s="6">
        <f t="shared" si="0"/>
        <v>35</v>
      </c>
    </row>
    <row r="26" spans="1:15">
      <c r="A26" s="22" t="s">
        <v>54</v>
      </c>
      <c r="B26" s="22"/>
      <c r="C26" s="4">
        <v>43167</v>
      </c>
      <c r="D26" s="4"/>
      <c r="E26" s="4">
        <v>43455</v>
      </c>
      <c r="F26" s="5"/>
      <c r="G26" s="49"/>
      <c r="H26" s="5">
        <v>10.86</v>
      </c>
      <c r="I26" s="102">
        <f>9*25+25*13/30</f>
        <v>235.83333333333334</v>
      </c>
      <c r="J26" s="5"/>
      <c r="K26" s="5"/>
      <c r="L26" s="6">
        <v>90</v>
      </c>
      <c r="M26" s="61">
        <v>36</v>
      </c>
      <c r="N26" s="6">
        <f t="shared" si="0"/>
        <v>37.799999999999997</v>
      </c>
    </row>
    <row r="27" spans="1:15">
      <c r="A27" s="22" t="s">
        <v>57</v>
      </c>
      <c r="B27" s="55"/>
      <c r="C27" s="31">
        <v>43478</v>
      </c>
      <c r="D27" s="31"/>
      <c r="E27" s="4">
        <v>43536</v>
      </c>
      <c r="F27" s="5"/>
      <c r="G27" s="49"/>
      <c r="H27" s="5">
        <v>10.86</v>
      </c>
      <c r="I27" s="102">
        <v>25</v>
      </c>
      <c r="J27" s="5"/>
      <c r="K27" s="5"/>
      <c r="L27" s="6">
        <v>70</v>
      </c>
      <c r="M27" s="61">
        <v>25</v>
      </c>
      <c r="N27" s="6">
        <f t="shared" si="0"/>
        <v>31.499999999999996</v>
      </c>
    </row>
    <row r="28" spans="1:15">
      <c r="A28" s="22" t="s">
        <v>59</v>
      </c>
      <c r="B28" s="22"/>
      <c r="C28" s="4">
        <v>43528</v>
      </c>
      <c r="D28" s="4"/>
      <c r="E28" s="4">
        <v>43538</v>
      </c>
      <c r="F28" s="5"/>
      <c r="G28" s="49"/>
      <c r="H28" s="5">
        <v>14.92</v>
      </c>
      <c r="I28" s="102">
        <f>77/30*10</f>
        <v>25.666666666666668</v>
      </c>
      <c r="J28" s="5"/>
      <c r="K28" s="5"/>
      <c r="L28" s="6">
        <v>169</v>
      </c>
      <c r="M28" s="61">
        <f>64+11+2</f>
        <v>77</v>
      </c>
      <c r="N28" s="6">
        <f t="shared" si="0"/>
        <v>64.399999999999991</v>
      </c>
    </row>
    <row r="29" spans="1:15">
      <c r="A29" s="22" t="s">
        <v>58</v>
      </c>
      <c r="B29" s="22"/>
      <c r="C29" s="4">
        <v>43534</v>
      </c>
      <c r="D29" s="4"/>
      <c r="E29" s="4">
        <v>43542</v>
      </c>
      <c r="F29" s="5"/>
      <c r="G29" s="49"/>
      <c r="H29" s="5">
        <f>10.86*2</f>
        <v>21.72</v>
      </c>
      <c r="I29" s="102">
        <v>0</v>
      </c>
      <c r="J29" s="5"/>
      <c r="K29" s="5"/>
      <c r="L29" s="6">
        <v>30</v>
      </c>
      <c r="M29" s="61">
        <v>22</v>
      </c>
      <c r="N29" s="6">
        <v>18.899999999999999</v>
      </c>
    </row>
    <row r="30" spans="1:15">
      <c r="A30" s="22" t="s">
        <v>61</v>
      </c>
      <c r="B30" s="22"/>
      <c r="C30" s="4">
        <v>43482</v>
      </c>
      <c r="D30" s="4"/>
      <c r="E30" s="4">
        <v>43542</v>
      </c>
      <c r="F30" s="5"/>
      <c r="G30" s="49"/>
      <c r="H30" s="5">
        <v>11.1</v>
      </c>
      <c r="I30" s="102">
        <f>25*2</f>
        <v>50</v>
      </c>
      <c r="J30" s="5"/>
      <c r="K30" s="5"/>
      <c r="L30" s="6">
        <v>70</v>
      </c>
      <c r="M30" s="61">
        <v>26</v>
      </c>
      <c r="N30" s="6">
        <f t="shared" si="0"/>
        <v>30.799999999999997</v>
      </c>
    </row>
    <row r="31" spans="1:15">
      <c r="A31" s="22" t="s">
        <v>67</v>
      </c>
      <c r="B31" s="22"/>
      <c r="C31" s="4">
        <v>43600</v>
      </c>
      <c r="D31" s="4"/>
      <c r="E31" s="4">
        <v>43629</v>
      </c>
      <c r="F31" s="5"/>
      <c r="G31" s="49"/>
      <c r="H31" s="5">
        <f>10.86*2</f>
        <v>21.72</v>
      </c>
      <c r="I31" s="102">
        <f>22/30*58</f>
        <v>42.533333333333331</v>
      </c>
      <c r="J31" s="5">
        <v>50</v>
      </c>
      <c r="K31" s="5">
        <f>H31+I31+J31</f>
        <v>114.25333333333333</v>
      </c>
      <c r="L31" s="6">
        <v>60</v>
      </c>
      <c r="M31" s="61">
        <v>25</v>
      </c>
      <c r="N31" s="6">
        <v>0</v>
      </c>
    </row>
    <row r="32" spans="1:15">
      <c r="A32" s="22" t="s">
        <v>66</v>
      </c>
      <c r="B32" s="22"/>
      <c r="C32" s="4">
        <v>43600</v>
      </c>
      <c r="D32" s="4"/>
      <c r="E32" s="4">
        <v>43629</v>
      </c>
      <c r="F32" s="5"/>
      <c r="G32" s="49"/>
      <c r="H32" s="5">
        <f>10.86</f>
        <v>10.86</v>
      </c>
      <c r="I32" s="102">
        <f>39/30*58</f>
        <v>75.400000000000006</v>
      </c>
      <c r="J32" s="5"/>
      <c r="K32" s="5">
        <f>H32+I32</f>
        <v>86.26</v>
      </c>
      <c r="L32" s="6">
        <v>110</v>
      </c>
      <c r="M32" s="61">
        <f>25+11+3</f>
        <v>39</v>
      </c>
      <c r="N32" s="6">
        <v>0</v>
      </c>
      <c r="O32" t="s">
        <v>73</v>
      </c>
    </row>
    <row r="33" spans="1:16">
      <c r="A33" s="22" t="s">
        <v>64</v>
      </c>
      <c r="B33" s="22"/>
      <c r="C33" s="4">
        <v>43627</v>
      </c>
      <c r="D33" s="4"/>
      <c r="E33" s="4">
        <v>43629</v>
      </c>
      <c r="F33" s="5"/>
      <c r="G33" s="49"/>
      <c r="H33" s="5">
        <v>10.86</v>
      </c>
      <c r="I33" s="102">
        <f>25/30*2</f>
        <v>1.6666666666666667</v>
      </c>
      <c r="J33" s="5"/>
      <c r="K33" s="5">
        <f>H33+I33</f>
        <v>12.526666666666666</v>
      </c>
      <c r="L33" s="6">
        <v>200</v>
      </c>
      <c r="M33" s="61">
        <v>11</v>
      </c>
      <c r="N33" s="5">
        <f t="shared" ref="N33:N44" si="1">(L33-M33)*0.7</f>
        <v>132.29999999999998</v>
      </c>
    </row>
    <row r="34" spans="1:16">
      <c r="A34" s="22" t="s">
        <v>65</v>
      </c>
      <c r="B34" s="22"/>
      <c r="C34" s="4">
        <v>43622</v>
      </c>
      <c r="D34" s="4"/>
      <c r="E34" s="4">
        <v>43650</v>
      </c>
      <c r="F34" s="5"/>
      <c r="G34" s="49"/>
      <c r="H34" s="5">
        <v>10.86</v>
      </c>
      <c r="I34" s="102"/>
      <c r="J34" s="5"/>
      <c r="K34" s="5"/>
      <c r="L34" s="6">
        <v>120</v>
      </c>
      <c r="M34" s="61">
        <v>60</v>
      </c>
      <c r="N34" s="6">
        <f t="shared" si="1"/>
        <v>42</v>
      </c>
    </row>
    <row r="35" spans="1:16">
      <c r="A35" s="22" t="s">
        <v>71</v>
      </c>
      <c r="B35" s="22"/>
      <c r="C35" s="4">
        <v>43635</v>
      </c>
      <c r="D35" s="4"/>
      <c r="E35" s="4">
        <v>43662</v>
      </c>
      <c r="F35" s="5"/>
      <c r="G35" s="49"/>
      <c r="H35" s="5">
        <f>10.86*2</f>
        <v>21.72</v>
      </c>
      <c r="I35" s="102"/>
      <c r="J35" s="5"/>
      <c r="K35" s="5"/>
      <c r="L35" s="6">
        <v>70</v>
      </c>
      <c r="M35" s="61">
        <v>26</v>
      </c>
      <c r="N35" s="6">
        <f t="shared" si="1"/>
        <v>30.799999999999997</v>
      </c>
      <c r="O35" t="s">
        <v>72</v>
      </c>
    </row>
    <row r="36" spans="1:16">
      <c r="A36" s="2" t="s">
        <v>75</v>
      </c>
      <c r="B36" s="2"/>
      <c r="C36" s="4">
        <v>43656</v>
      </c>
      <c r="D36" s="4"/>
      <c r="E36" s="4">
        <v>43711</v>
      </c>
      <c r="F36" s="5"/>
      <c r="G36" s="49"/>
      <c r="H36" s="5">
        <v>10.86</v>
      </c>
      <c r="I36" s="102">
        <f>36/30*48</f>
        <v>57.599999999999994</v>
      </c>
      <c r="J36" s="5"/>
      <c r="K36" s="5"/>
      <c r="L36" s="6">
        <v>145</v>
      </c>
      <c r="M36" s="61">
        <f>36+18</f>
        <v>54</v>
      </c>
      <c r="N36" s="6">
        <f t="shared" si="1"/>
        <v>63.699999999999996</v>
      </c>
    </row>
    <row r="37" spans="1:16">
      <c r="A37" s="2" t="s">
        <v>76</v>
      </c>
      <c r="B37" s="2"/>
      <c r="C37" s="4">
        <v>43677</v>
      </c>
      <c r="D37" s="4"/>
      <c r="E37" s="4">
        <v>43713</v>
      </c>
      <c r="F37" s="5"/>
      <c r="G37" s="49"/>
      <c r="H37" s="5">
        <v>24.06</v>
      </c>
      <c r="I37" s="102">
        <f>80/30*35</f>
        <v>93.333333333333329</v>
      </c>
      <c r="J37" s="5">
        <v>40</v>
      </c>
      <c r="K37" s="5"/>
      <c r="L37" s="6">
        <v>149</v>
      </c>
      <c r="M37" s="61">
        <v>80</v>
      </c>
      <c r="N37" s="6">
        <f t="shared" si="1"/>
        <v>48.3</v>
      </c>
      <c r="O37" t="s">
        <v>79</v>
      </c>
    </row>
    <row r="38" spans="1:16">
      <c r="A38" s="10" t="s">
        <v>81</v>
      </c>
      <c r="B38" s="10"/>
      <c r="C38" s="11">
        <v>45444</v>
      </c>
      <c r="D38" s="11"/>
      <c r="E38" s="11">
        <v>45408</v>
      </c>
      <c r="F38" s="12"/>
      <c r="G38" s="12"/>
      <c r="H38" s="12"/>
      <c r="I38" s="106">
        <f>43/30*34</f>
        <v>48.733333333333334</v>
      </c>
      <c r="J38" s="12"/>
      <c r="K38" s="12"/>
      <c r="L38" s="12">
        <v>129</v>
      </c>
      <c r="M38" s="107">
        <v>61</v>
      </c>
      <c r="N38" s="12">
        <f t="shared" si="1"/>
        <v>47.599999999999994</v>
      </c>
    </row>
    <row r="39" spans="1:16">
      <c r="A39" s="22" t="s">
        <v>87</v>
      </c>
      <c r="B39" s="22"/>
      <c r="C39" s="35">
        <v>43878</v>
      </c>
      <c r="D39" s="35"/>
      <c r="E39" s="35">
        <v>43892</v>
      </c>
      <c r="F39" s="5"/>
      <c r="G39" s="49"/>
      <c r="H39" s="5">
        <v>12.19</v>
      </c>
      <c r="I39" s="102">
        <v>5.5</v>
      </c>
      <c r="J39" s="5"/>
      <c r="K39" s="5"/>
      <c r="L39" s="6">
        <v>25</v>
      </c>
      <c r="M39" s="61">
        <v>11</v>
      </c>
      <c r="N39" s="6">
        <f t="shared" si="1"/>
        <v>9.7999999999999989</v>
      </c>
    </row>
    <row r="40" spans="1:16">
      <c r="A40" s="22" t="s">
        <v>89</v>
      </c>
      <c r="B40" s="22"/>
      <c r="C40" s="35">
        <v>43908</v>
      </c>
      <c r="D40" s="35"/>
      <c r="E40" s="35">
        <v>43893</v>
      </c>
      <c r="F40" s="5"/>
      <c r="G40" s="49"/>
      <c r="H40" s="5">
        <v>9.6</v>
      </c>
      <c r="I40" s="102">
        <v>5.5</v>
      </c>
      <c r="J40" s="5"/>
      <c r="K40" s="5"/>
      <c r="L40" s="6">
        <v>25</v>
      </c>
      <c r="M40" s="61">
        <v>11</v>
      </c>
      <c r="N40" s="6">
        <f t="shared" si="1"/>
        <v>9.7999999999999989</v>
      </c>
    </row>
    <row r="41" spans="1:16">
      <c r="A41" s="22" t="s">
        <v>85</v>
      </c>
      <c r="B41" s="22"/>
      <c r="C41" s="35">
        <v>43881</v>
      </c>
      <c r="D41" s="35"/>
      <c r="E41" s="35">
        <v>43895</v>
      </c>
      <c r="F41" s="5"/>
      <c r="G41" s="49"/>
      <c r="H41" s="5">
        <v>9.14</v>
      </c>
      <c r="I41" s="102">
        <f>11/30*15</f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39" t="s">
        <v>82</v>
      </c>
      <c r="B42" s="28"/>
      <c r="C42" s="36">
        <v>40235</v>
      </c>
      <c r="D42" s="36"/>
      <c r="E42" s="36">
        <v>43901</v>
      </c>
      <c r="F42" s="5"/>
      <c r="G42" s="34"/>
      <c r="H42" s="37">
        <v>9.6</v>
      </c>
      <c r="I42" s="102">
        <f>11/2</f>
        <v>5.5</v>
      </c>
      <c r="J42" s="5"/>
      <c r="K42" s="5"/>
      <c r="L42" s="17">
        <v>25</v>
      </c>
      <c r="M42" s="63">
        <v>11</v>
      </c>
      <c r="N42" s="26">
        <f t="shared" si="1"/>
        <v>9.7999999999999989</v>
      </c>
    </row>
    <row r="43" spans="1:16">
      <c r="A43" s="22" t="s">
        <v>80</v>
      </c>
      <c r="B43" s="22"/>
      <c r="C43" s="35">
        <v>43873</v>
      </c>
      <c r="D43" s="35"/>
      <c r="E43" s="35">
        <v>43910</v>
      </c>
      <c r="F43" s="5"/>
      <c r="G43" s="49"/>
      <c r="H43" s="5">
        <v>21.84</v>
      </c>
      <c r="I43" s="102">
        <f>56/30*38</f>
        <v>70.933333333333337</v>
      </c>
      <c r="J43" s="5"/>
      <c r="K43" s="5"/>
      <c r="L43" s="6">
        <v>120</v>
      </c>
      <c r="M43" s="61">
        <v>56</v>
      </c>
      <c r="N43" s="6">
        <f t="shared" si="1"/>
        <v>44.8</v>
      </c>
    </row>
    <row r="44" spans="1:16">
      <c r="A44" s="22" t="s">
        <v>88</v>
      </c>
      <c r="B44" s="22"/>
      <c r="C44" s="35">
        <v>43855</v>
      </c>
      <c r="D44" s="35"/>
      <c r="E44" s="35">
        <v>43941</v>
      </c>
      <c r="F44" s="5"/>
      <c r="G44" s="49"/>
      <c r="H44" s="5">
        <v>13.93</v>
      </c>
      <c r="I44" s="102">
        <f>56/30*85</f>
        <v>158.66666666666666</v>
      </c>
      <c r="J44" s="5"/>
      <c r="K44" s="5"/>
      <c r="L44" s="6">
        <v>110</v>
      </c>
      <c r="M44" s="61">
        <v>56</v>
      </c>
      <c r="N44" s="6">
        <f t="shared" si="1"/>
        <v>37.799999999999997</v>
      </c>
    </row>
    <row r="45" spans="1:16">
      <c r="A45" s="22" t="s">
        <v>90</v>
      </c>
      <c r="B45" s="22"/>
      <c r="C45" s="35" t="s">
        <v>96</v>
      </c>
      <c r="D45" s="35"/>
      <c r="E45" s="35">
        <v>44015</v>
      </c>
      <c r="F45" s="5" t="s">
        <v>160</v>
      </c>
      <c r="G45" s="49">
        <v>12.5</v>
      </c>
      <c r="H45" s="5">
        <v>11.29</v>
      </c>
      <c r="I45" s="102">
        <f>100</f>
        <v>100</v>
      </c>
      <c r="J45" s="5"/>
      <c r="K45" s="5"/>
      <c r="L45" s="6">
        <v>105</v>
      </c>
      <c r="M45" s="61">
        <f>25+11+22</f>
        <v>58</v>
      </c>
      <c r="N45" s="6">
        <f>12.5+(92.5-M45)*0.7</f>
        <v>36.65</v>
      </c>
      <c r="P45" s="41"/>
    </row>
    <row r="46" spans="1:16">
      <c r="A46" s="22" t="s">
        <v>97</v>
      </c>
      <c r="B46" s="22"/>
      <c r="C46" s="35">
        <v>43990</v>
      </c>
      <c r="D46" s="35"/>
      <c r="E46" s="35">
        <v>44036</v>
      </c>
      <c r="F46" s="5"/>
      <c r="G46" s="49"/>
      <c r="H46" s="5">
        <v>8.75</v>
      </c>
      <c r="I46" s="102">
        <f>56/30*46</f>
        <v>85.866666666666674</v>
      </c>
      <c r="J46" s="5"/>
      <c r="K46" s="5"/>
      <c r="L46" s="6">
        <v>110</v>
      </c>
      <c r="M46" s="61">
        <f>45+11</f>
        <v>56</v>
      </c>
      <c r="N46" s="6">
        <f>(L46-M46)*0.7</f>
        <v>37.799999999999997</v>
      </c>
    </row>
    <row r="47" spans="1:16">
      <c r="A47" s="22" t="s">
        <v>95</v>
      </c>
      <c r="B47" s="22"/>
      <c r="C47" s="35">
        <v>44028</v>
      </c>
      <c r="D47" s="35"/>
      <c r="E47" s="35">
        <v>44040</v>
      </c>
      <c r="F47" s="5"/>
      <c r="G47" s="49"/>
      <c r="H47" s="5">
        <v>8.75</v>
      </c>
      <c r="I47" s="102">
        <f>41/30*12</f>
        <v>16.399999999999999</v>
      </c>
      <c r="J47" s="5"/>
      <c r="K47" s="5"/>
      <c r="L47" s="6">
        <v>60</v>
      </c>
      <c r="M47" s="61">
        <v>41</v>
      </c>
      <c r="N47" s="6">
        <f>(L47-M47)*0.7</f>
        <v>13.299999999999999</v>
      </c>
    </row>
    <row r="48" spans="1:16">
      <c r="A48" s="22" t="s">
        <v>94</v>
      </c>
      <c r="B48" s="22"/>
      <c r="C48" s="35">
        <v>44011</v>
      </c>
      <c r="D48" s="35"/>
      <c r="E48" s="35">
        <v>44084</v>
      </c>
      <c r="F48" s="5"/>
      <c r="G48" s="49"/>
      <c r="H48" s="5">
        <v>11.29</v>
      </c>
      <c r="I48" s="102">
        <f>25/30*71</f>
        <v>59.166666666666671</v>
      </c>
      <c r="J48" s="5"/>
      <c r="K48" s="5"/>
      <c r="L48" s="6">
        <v>40</v>
      </c>
      <c r="M48" s="61">
        <v>25</v>
      </c>
      <c r="N48" s="6">
        <f>(L48-M48)*0.7</f>
        <v>10.5</v>
      </c>
    </row>
    <row r="49" spans="1:16">
      <c r="A49" s="2" t="s">
        <v>99</v>
      </c>
      <c r="B49" s="2"/>
      <c r="C49" s="35">
        <v>44084</v>
      </c>
      <c r="D49" s="35"/>
      <c r="E49" s="35">
        <v>44105</v>
      </c>
      <c r="F49" s="5" t="s">
        <v>160</v>
      </c>
      <c r="G49" s="49">
        <v>5</v>
      </c>
      <c r="H49" s="5">
        <v>12.24</v>
      </c>
      <c r="I49" s="102">
        <f>25/30*20</f>
        <v>16.666666666666668</v>
      </c>
      <c r="J49" s="5"/>
      <c r="K49" s="5"/>
      <c r="L49" s="43">
        <v>40</v>
      </c>
      <c r="M49" s="61">
        <v>22</v>
      </c>
      <c r="N49" s="6">
        <f>5+13*0.7</f>
        <v>14.1</v>
      </c>
      <c r="P49" s="41"/>
    </row>
    <row r="50" spans="1:16">
      <c r="A50" s="2" t="s">
        <v>102</v>
      </c>
      <c r="B50" s="2"/>
      <c r="C50" s="4" t="s">
        <v>103</v>
      </c>
      <c r="D50" s="4"/>
      <c r="E50" s="4">
        <v>44110</v>
      </c>
      <c r="F50" s="5" t="s">
        <v>160</v>
      </c>
      <c r="G50" s="49">
        <v>10</v>
      </c>
      <c r="H50" s="5">
        <v>36.65</v>
      </c>
      <c r="I50" s="102">
        <f>115/30*26</f>
        <v>99.666666666666671</v>
      </c>
      <c r="J50" s="5"/>
      <c r="K50" s="5"/>
      <c r="L50" s="6">
        <v>180</v>
      </c>
      <c r="M50" s="61">
        <v>115</v>
      </c>
      <c r="N50" s="6">
        <f>10+55*0.7</f>
        <v>48.5</v>
      </c>
      <c r="P50" s="41"/>
    </row>
    <row r="51" spans="1:16">
      <c r="A51" s="2" t="s">
        <v>94</v>
      </c>
      <c r="B51" s="2"/>
      <c r="C51" s="35">
        <v>44124</v>
      </c>
      <c r="D51" s="35"/>
      <c r="E51" s="35">
        <v>44124</v>
      </c>
      <c r="F51" s="5"/>
      <c r="G51" s="49"/>
      <c r="H51" s="5">
        <v>7.25</v>
      </c>
      <c r="I51" s="102">
        <v>0</v>
      </c>
      <c r="J51" s="5"/>
      <c r="K51" s="5"/>
      <c r="L51" s="6">
        <v>25</v>
      </c>
      <c r="M51" s="61">
        <v>11</v>
      </c>
      <c r="N51" s="6">
        <f>(L51-M51)*0.7</f>
        <v>9.7999999999999989</v>
      </c>
    </row>
    <row r="52" spans="1:16">
      <c r="A52" s="2" t="s">
        <v>100</v>
      </c>
      <c r="B52" s="2"/>
      <c r="C52" s="4">
        <v>44018</v>
      </c>
      <c r="D52" s="4"/>
      <c r="E52" s="4">
        <v>44124</v>
      </c>
      <c r="F52" s="40"/>
      <c r="G52" s="2"/>
      <c r="H52" s="5">
        <v>9.5</v>
      </c>
      <c r="I52" s="102">
        <f>25/30*104</f>
        <v>86.666666666666671</v>
      </c>
      <c r="J52" s="5"/>
      <c r="K52" s="5"/>
      <c r="L52" s="6">
        <v>70</v>
      </c>
      <c r="M52" s="61">
        <v>25</v>
      </c>
      <c r="N52" s="6">
        <f>(L52-M52)*0.7</f>
        <v>31.499999999999996</v>
      </c>
    </row>
    <row r="53" spans="1:16">
      <c r="A53" s="2" t="s">
        <v>101</v>
      </c>
      <c r="B53" s="2"/>
      <c r="C53" s="4">
        <v>44070</v>
      </c>
      <c r="D53" s="4"/>
      <c r="E53" s="4">
        <v>44131</v>
      </c>
      <c r="F53" s="40"/>
      <c r="G53" s="2"/>
      <c r="H53" s="5">
        <v>13.93</v>
      </c>
      <c r="I53" s="102">
        <f>71/30*60</f>
        <v>142</v>
      </c>
      <c r="J53" s="5"/>
      <c r="K53" s="5"/>
      <c r="L53" s="6">
        <v>120</v>
      </c>
      <c r="M53" s="61">
        <f>60+11</f>
        <v>71</v>
      </c>
      <c r="N53" s="6">
        <f>(L53-M53)*0.7</f>
        <v>34.299999999999997</v>
      </c>
    </row>
    <row r="54" spans="1:16">
      <c r="A54" s="22" t="s">
        <v>104</v>
      </c>
      <c r="B54" s="22"/>
      <c r="C54" s="4">
        <v>44159</v>
      </c>
      <c r="D54" s="4"/>
      <c r="E54" s="4">
        <v>44187</v>
      </c>
      <c r="F54" s="40"/>
      <c r="G54" s="2"/>
      <c r="H54" s="5">
        <v>13.93</v>
      </c>
      <c r="I54" s="102">
        <f>36/30*28</f>
        <v>33.6</v>
      </c>
      <c r="J54" s="5"/>
      <c r="K54" s="5"/>
      <c r="L54" s="6">
        <v>110</v>
      </c>
      <c r="M54" s="61">
        <f>25+11</f>
        <v>36</v>
      </c>
      <c r="N54" s="6">
        <f>(L54-M54)*0.7</f>
        <v>51.8</v>
      </c>
    </row>
    <row r="55" spans="1:16">
      <c r="A55" s="22" t="s">
        <v>120</v>
      </c>
      <c r="B55" s="22"/>
      <c r="C55" s="4">
        <v>44169</v>
      </c>
      <c r="D55" s="4"/>
      <c r="E55" s="4">
        <v>44208</v>
      </c>
      <c r="F55" s="5" t="s">
        <v>160</v>
      </c>
      <c r="G55" s="49">
        <v>10</v>
      </c>
      <c r="H55" s="5"/>
      <c r="I55" s="102">
        <f>41/30*38</f>
        <v>51.933333333333337</v>
      </c>
      <c r="J55" s="5"/>
      <c r="K55" s="5"/>
      <c r="L55" s="6">
        <v>70</v>
      </c>
      <c r="M55" s="61">
        <v>45</v>
      </c>
      <c r="N55" s="5">
        <f>10+(60-45)*0.7</f>
        <v>20.5</v>
      </c>
      <c r="O55" s="1" t="s">
        <v>145</v>
      </c>
    </row>
    <row r="56" spans="1:16">
      <c r="A56" s="22" t="s">
        <v>108</v>
      </c>
      <c r="B56" s="22"/>
      <c r="C56" s="4">
        <v>44185</v>
      </c>
      <c r="D56" s="4"/>
      <c r="E56" s="4">
        <v>44242</v>
      </c>
      <c r="F56" s="5" t="s">
        <v>160</v>
      </c>
      <c r="G56" s="49">
        <v>20</v>
      </c>
      <c r="H56" s="5">
        <v>26.48</v>
      </c>
      <c r="I56" s="102">
        <f>50/30*55</f>
        <v>91.666666666666671</v>
      </c>
      <c r="J56" s="5">
        <v>160</v>
      </c>
      <c r="K56" s="5"/>
      <c r="L56" s="6">
        <v>130</v>
      </c>
      <c r="M56" s="61">
        <v>34</v>
      </c>
      <c r="N56" s="5">
        <f>(20+(110-34)*0.7)</f>
        <v>73.199999999999989</v>
      </c>
      <c r="O56" s="1" t="s">
        <v>145</v>
      </c>
    </row>
    <row r="57" spans="1:16">
      <c r="A57" s="22" t="s">
        <v>109</v>
      </c>
      <c r="B57" s="22"/>
      <c r="C57" s="4">
        <v>44209</v>
      </c>
      <c r="D57" s="4"/>
      <c r="E57" s="4">
        <v>44250</v>
      </c>
      <c r="F57" s="5" t="s">
        <v>160</v>
      </c>
      <c r="G57" s="49">
        <v>22.5</v>
      </c>
      <c r="H57" s="5">
        <v>22.83</v>
      </c>
      <c r="I57" s="102">
        <f>100/30*40</f>
        <v>133.33333333333334</v>
      </c>
      <c r="J57" s="5">
        <v>125</v>
      </c>
      <c r="K57" s="5"/>
      <c r="L57" s="6">
        <v>210</v>
      </c>
      <c r="M57" s="61">
        <v>100</v>
      </c>
      <c r="N57" s="6">
        <f>(22.5+87.5*0.7)</f>
        <v>83.75</v>
      </c>
    </row>
    <row r="58" spans="1:16">
      <c r="A58" s="2" t="s">
        <v>113</v>
      </c>
      <c r="B58" s="2"/>
      <c r="C58" s="4">
        <v>44245</v>
      </c>
      <c r="D58" s="4"/>
      <c r="E58" s="4">
        <v>44271</v>
      </c>
      <c r="F58" s="5" t="s">
        <v>160</v>
      </c>
      <c r="G58" s="49">
        <v>15</v>
      </c>
      <c r="H58" s="5">
        <v>26.76</v>
      </c>
      <c r="I58" s="102">
        <f>67/30*28</f>
        <v>62.533333333333331</v>
      </c>
      <c r="J58" s="5"/>
      <c r="K58" s="5"/>
      <c r="L58" s="6">
        <v>140</v>
      </c>
      <c r="M58" s="61">
        <v>67</v>
      </c>
      <c r="N58" s="6">
        <f>(15+0.7*58)</f>
        <v>55.599999999999994</v>
      </c>
    </row>
    <row r="59" spans="1:16">
      <c r="A59" s="2" t="s">
        <v>112</v>
      </c>
      <c r="B59" s="2"/>
      <c r="C59" s="4">
        <v>44270</v>
      </c>
      <c r="D59" s="4"/>
      <c r="E59" s="4">
        <v>44286</v>
      </c>
      <c r="F59" s="5" t="s">
        <v>160</v>
      </c>
      <c r="G59" s="49">
        <v>17.5</v>
      </c>
      <c r="H59" s="5">
        <v>31.96</v>
      </c>
      <c r="I59" s="102">
        <f>55/30*16</f>
        <v>29.333333333333332</v>
      </c>
      <c r="J59" s="5">
        <v>75</v>
      </c>
      <c r="K59" s="5"/>
      <c r="L59" s="6">
        <v>100</v>
      </c>
      <c r="M59" s="61">
        <v>55</v>
      </c>
      <c r="N59" s="6">
        <f>(17.5+27.5*0.7)</f>
        <v>36.75</v>
      </c>
    </row>
    <row r="60" spans="1:16">
      <c r="A60" s="22" t="s">
        <v>121</v>
      </c>
      <c r="B60" s="22"/>
      <c r="C60" s="4">
        <v>44316</v>
      </c>
      <c r="D60" s="4"/>
      <c r="E60" s="4">
        <v>44354</v>
      </c>
      <c r="F60" s="40"/>
      <c r="G60" s="2"/>
      <c r="H60" s="5">
        <v>15.15</v>
      </c>
      <c r="I60" s="102">
        <f>36/30*37</f>
        <v>44.4</v>
      </c>
      <c r="J60" s="5"/>
      <c r="K60" s="5"/>
      <c r="L60" s="6">
        <v>110</v>
      </c>
      <c r="M60" s="61">
        <v>36</v>
      </c>
      <c r="N60" s="5">
        <f>(L60-M60)*0.7</f>
        <v>51.8</v>
      </c>
      <c r="O60" s="1" t="s">
        <v>145</v>
      </c>
    </row>
    <row r="61" spans="1:16">
      <c r="A61" s="22" t="s">
        <v>126</v>
      </c>
      <c r="B61" s="22"/>
      <c r="C61" s="4">
        <v>44336</v>
      </c>
      <c r="D61" s="4"/>
      <c r="E61" s="4">
        <v>44370</v>
      </c>
      <c r="F61" s="5" t="s">
        <v>161</v>
      </c>
      <c r="G61" s="49">
        <v>17.5</v>
      </c>
      <c r="H61" s="5">
        <v>35.78</v>
      </c>
      <c r="I61" s="102">
        <f>58/30*33</f>
        <v>63.8</v>
      </c>
      <c r="J61" s="5">
        <v>50</v>
      </c>
      <c r="K61" s="5"/>
      <c r="L61" s="6">
        <v>150</v>
      </c>
      <c r="M61" s="61">
        <v>58</v>
      </c>
      <c r="N61" s="6">
        <f>(17.5+74.5*0.7)</f>
        <v>69.650000000000006</v>
      </c>
    </row>
    <row r="62" spans="1:16">
      <c r="A62" s="44" t="s">
        <v>125</v>
      </c>
      <c r="B62" s="44"/>
      <c r="C62" s="4">
        <v>44342</v>
      </c>
      <c r="D62" s="4"/>
      <c r="E62" s="4">
        <v>44386</v>
      </c>
      <c r="F62" s="5" t="s">
        <v>160</v>
      </c>
      <c r="G62" s="49">
        <v>12.5</v>
      </c>
      <c r="H62" s="5">
        <v>15.46</v>
      </c>
      <c r="I62" s="102">
        <f>36/30*43</f>
        <v>51.6</v>
      </c>
      <c r="J62" s="5">
        <f>50+45</f>
        <v>95</v>
      </c>
      <c r="K62" s="5"/>
      <c r="L62" s="6">
        <v>80</v>
      </c>
      <c r="M62" s="61">
        <v>33</v>
      </c>
      <c r="N62" s="6">
        <f>12.5+(L62-M62-12.5)*0.7</f>
        <v>36.65</v>
      </c>
    </row>
    <row r="63" spans="1:16">
      <c r="A63" s="44" t="s">
        <v>129</v>
      </c>
      <c r="B63" s="44"/>
      <c r="C63" s="4">
        <v>44348</v>
      </c>
      <c r="D63" s="4"/>
      <c r="E63" s="4">
        <v>44389</v>
      </c>
      <c r="F63" s="5" t="s">
        <v>160</v>
      </c>
      <c r="G63" s="49">
        <v>12.5</v>
      </c>
      <c r="H63" s="5">
        <v>26.22</v>
      </c>
      <c r="I63" s="102">
        <f>71/30*42</f>
        <v>99.4</v>
      </c>
      <c r="J63" s="5">
        <f>50+45</f>
        <v>95</v>
      </c>
      <c r="K63" s="5"/>
      <c r="L63" s="6">
        <v>140</v>
      </c>
      <c r="M63" s="61">
        <v>71</v>
      </c>
      <c r="N63" s="6">
        <f>(12.5+(127.5-71)*0.7)</f>
        <v>52.05</v>
      </c>
    </row>
    <row r="64" spans="1:16">
      <c r="A64" s="44" t="s">
        <v>132</v>
      </c>
      <c r="B64" s="44"/>
      <c r="C64" s="4">
        <v>44407</v>
      </c>
      <c r="D64" s="4"/>
      <c r="E64" s="4">
        <v>44461</v>
      </c>
      <c r="F64" s="40"/>
      <c r="G64" s="2"/>
      <c r="H64" s="5">
        <v>9.8800000000000008</v>
      </c>
      <c r="I64" s="102">
        <f>25/30*52</f>
        <v>43.333333333333336</v>
      </c>
      <c r="J64" s="5"/>
      <c r="K64" s="5"/>
      <c r="L64" s="6">
        <v>40</v>
      </c>
      <c r="M64" s="61">
        <v>25</v>
      </c>
      <c r="N64" s="6">
        <f>(L64-M64)*0.7</f>
        <v>10.5</v>
      </c>
    </row>
    <row r="65" spans="1:16">
      <c r="A65" s="52" t="s">
        <v>141</v>
      </c>
      <c r="B65" s="52"/>
      <c r="C65" s="57">
        <v>44459</v>
      </c>
      <c r="D65" s="57"/>
      <c r="E65" s="57">
        <v>44481</v>
      </c>
      <c r="F65" s="10" t="s">
        <v>161</v>
      </c>
      <c r="G65" s="12">
        <v>10</v>
      </c>
      <c r="H65" s="25">
        <v>15.15</v>
      </c>
      <c r="I65" s="103">
        <f>46/30*22</f>
        <v>33.733333333333334</v>
      </c>
      <c r="J65" s="25">
        <v>80</v>
      </c>
      <c r="K65" s="25"/>
      <c r="L65" s="27">
        <v>120</v>
      </c>
      <c r="M65" s="64">
        <v>46</v>
      </c>
      <c r="N65" s="27">
        <f>10+(120-56)*0.7</f>
        <v>54.8</v>
      </c>
    </row>
    <row r="66" spans="1:16">
      <c r="A66" s="52" t="s">
        <v>140</v>
      </c>
      <c r="B66" s="52"/>
      <c r="C66" s="57">
        <v>44449</v>
      </c>
      <c r="D66" s="57"/>
      <c r="E66" s="57">
        <v>44482</v>
      </c>
      <c r="F66" s="25" t="s">
        <v>160</v>
      </c>
      <c r="G66" s="58">
        <v>10</v>
      </c>
      <c r="H66" s="25">
        <v>13.4</v>
      </c>
      <c r="I66" s="103">
        <f>60/30*33</f>
        <v>66</v>
      </c>
      <c r="J66" s="25">
        <v>80</v>
      </c>
      <c r="K66" s="25"/>
      <c r="L66" s="27">
        <v>120</v>
      </c>
      <c r="M66" s="64">
        <v>61</v>
      </c>
      <c r="N66" s="27">
        <f>(10+49*0.7)</f>
        <v>44.3</v>
      </c>
    </row>
    <row r="67" spans="1:16">
      <c r="A67" s="44" t="s">
        <v>137</v>
      </c>
      <c r="B67" s="44"/>
      <c r="C67" s="35">
        <v>44474</v>
      </c>
      <c r="D67" s="35"/>
      <c r="E67" s="35">
        <v>44487</v>
      </c>
      <c r="F67" s="10" t="s">
        <v>161</v>
      </c>
      <c r="G67" s="12">
        <v>12.5</v>
      </c>
      <c r="H67" s="5">
        <v>15.15</v>
      </c>
      <c r="I67" s="102">
        <f>71/30*13</f>
        <v>30.766666666666666</v>
      </c>
      <c r="J67" s="5">
        <v>95</v>
      </c>
      <c r="K67" s="5"/>
      <c r="L67" s="6">
        <v>140</v>
      </c>
      <c r="M67" s="61">
        <v>71</v>
      </c>
      <c r="N67" s="6">
        <f>12.5+(56.5)*0.7</f>
        <v>52.05</v>
      </c>
    </row>
    <row r="68" spans="1:16">
      <c r="A68" s="44" t="s">
        <v>139</v>
      </c>
      <c r="B68" s="44"/>
      <c r="C68" s="35">
        <v>44492</v>
      </c>
      <c r="D68" s="35"/>
      <c r="E68" s="35">
        <v>44539</v>
      </c>
      <c r="F68" s="40"/>
      <c r="G68" s="49"/>
      <c r="H68" s="5">
        <v>16.350000000000001</v>
      </c>
      <c r="I68" s="102">
        <f>71/30*46</f>
        <v>108.86666666666667</v>
      </c>
      <c r="J68" s="5">
        <v>95</v>
      </c>
      <c r="K68" s="5"/>
      <c r="L68" s="6">
        <v>140</v>
      </c>
      <c r="M68" s="61">
        <v>71</v>
      </c>
      <c r="N68" s="12">
        <f>(140-71)*0.7</f>
        <v>48.3</v>
      </c>
      <c r="O68" s="72" t="s">
        <v>329</v>
      </c>
      <c r="P68" s="72">
        <v>33.81</v>
      </c>
    </row>
    <row r="69" spans="1:16">
      <c r="A69" s="44" t="s">
        <v>144</v>
      </c>
      <c r="B69" s="44"/>
      <c r="C69" s="35">
        <v>44526</v>
      </c>
      <c r="D69" s="35"/>
      <c r="E69" s="35">
        <v>44550</v>
      </c>
      <c r="F69" s="5" t="s">
        <v>160</v>
      </c>
      <c r="G69" s="49">
        <v>12.5</v>
      </c>
      <c r="H69" s="5">
        <v>13.4</v>
      </c>
      <c r="I69" s="102">
        <f>83/30*24</f>
        <v>66.400000000000006</v>
      </c>
      <c r="J69" s="5"/>
      <c r="K69" s="5"/>
      <c r="L69" s="6">
        <v>140</v>
      </c>
      <c r="M69" s="61">
        <v>94</v>
      </c>
      <c r="N69" s="6">
        <f>12.5+(140-12.5-94)*0.7</f>
        <v>35.950000000000003</v>
      </c>
    </row>
    <row r="70" spans="1:16">
      <c r="A70" s="44" t="s">
        <v>149</v>
      </c>
      <c r="B70" s="44"/>
      <c r="C70" s="35">
        <v>44880</v>
      </c>
      <c r="D70" s="35"/>
      <c r="E70" s="35">
        <v>44575</v>
      </c>
      <c r="F70" s="40"/>
      <c r="G70" s="49"/>
      <c r="H70" s="5">
        <v>13.4</v>
      </c>
      <c r="I70" s="102"/>
      <c r="J70" s="5">
        <v>50</v>
      </c>
      <c r="K70" s="5"/>
      <c r="L70" s="6">
        <v>160</v>
      </c>
      <c r="M70" s="61">
        <f>71+9</f>
        <v>80</v>
      </c>
      <c r="N70" s="6">
        <f>(160-80)*0.7</f>
        <v>56</v>
      </c>
    </row>
    <row r="71" spans="1:16">
      <c r="A71" s="44" t="s">
        <v>146</v>
      </c>
      <c r="B71" s="44"/>
      <c r="C71" s="4">
        <v>44586</v>
      </c>
      <c r="D71" s="4"/>
      <c r="E71" s="4">
        <v>44615</v>
      </c>
      <c r="F71" s="10" t="s">
        <v>161</v>
      </c>
      <c r="G71" s="12">
        <v>12.5</v>
      </c>
      <c r="H71" s="5">
        <v>15.46</v>
      </c>
      <c r="I71" s="102">
        <f>27/30*28</f>
        <v>25.2</v>
      </c>
      <c r="J71" s="5">
        <v>110</v>
      </c>
      <c r="K71" s="5"/>
      <c r="L71" s="6">
        <v>154</v>
      </c>
      <c r="M71" s="61">
        <v>72</v>
      </c>
      <c r="N71" s="6">
        <f>12.5+(154-12.5-62)*0.7</f>
        <v>68.150000000000006</v>
      </c>
    </row>
    <row r="72" spans="1:16">
      <c r="A72" s="44" t="s">
        <v>150</v>
      </c>
      <c r="B72" s="44"/>
      <c r="C72" s="4">
        <v>44899</v>
      </c>
      <c r="D72" s="4"/>
      <c r="E72" s="4">
        <v>44607</v>
      </c>
      <c r="F72" s="12" t="s">
        <v>160</v>
      </c>
      <c r="G72" s="12">
        <v>12.5</v>
      </c>
      <c r="H72" s="5">
        <v>13.4</v>
      </c>
      <c r="I72" s="102">
        <f>71/30*61</f>
        <v>144.36666666666667</v>
      </c>
      <c r="J72" s="5">
        <v>80</v>
      </c>
      <c r="K72" s="5"/>
      <c r="L72" s="6">
        <v>120</v>
      </c>
      <c r="M72" s="61">
        <v>60</v>
      </c>
      <c r="N72" s="6">
        <f>12.5+(120-72.5)*0.7</f>
        <v>45.75</v>
      </c>
    </row>
    <row r="73" spans="1:16">
      <c r="A73" s="44" t="s">
        <v>153</v>
      </c>
      <c r="B73" s="44"/>
      <c r="C73" s="4">
        <v>44623</v>
      </c>
      <c r="D73" s="4"/>
      <c r="E73" s="4">
        <v>44623</v>
      </c>
      <c r="F73" s="40"/>
      <c r="G73" s="40"/>
      <c r="H73" s="5">
        <v>11.03</v>
      </c>
      <c r="I73" s="102">
        <v>0</v>
      </c>
      <c r="J73" s="5">
        <v>15</v>
      </c>
      <c r="K73" s="5"/>
      <c r="L73" s="6">
        <v>30</v>
      </c>
      <c r="M73" s="61">
        <v>12</v>
      </c>
      <c r="N73" s="6">
        <f>(L73-M73)*0.7</f>
        <v>12.6</v>
      </c>
    </row>
    <row r="74" spans="1:16">
      <c r="A74" s="44" t="s">
        <v>157</v>
      </c>
      <c r="B74" s="44"/>
      <c r="C74" s="4">
        <v>44627</v>
      </c>
      <c r="D74" s="4"/>
      <c r="E74" s="4">
        <v>44627</v>
      </c>
      <c r="F74" s="10" t="s">
        <v>161</v>
      </c>
      <c r="G74" s="12">
        <v>10</v>
      </c>
      <c r="H74" s="5">
        <v>15.46</v>
      </c>
      <c r="I74" s="102">
        <v>0</v>
      </c>
      <c r="J74" s="5">
        <v>0</v>
      </c>
      <c r="K74" s="5"/>
      <c r="L74" s="6">
        <v>100</v>
      </c>
      <c r="M74" s="61">
        <v>44</v>
      </c>
      <c r="N74" s="6">
        <f>10+(46)*0.7</f>
        <v>42.199999999999996</v>
      </c>
    </row>
    <row r="75" spans="1:16">
      <c r="A75" s="44" t="s">
        <v>171</v>
      </c>
      <c r="B75" s="44"/>
      <c r="C75" s="4">
        <v>44648</v>
      </c>
      <c r="D75" s="4"/>
      <c r="E75" s="4">
        <v>44734</v>
      </c>
      <c r="F75" s="40"/>
      <c r="G75" s="5"/>
      <c r="H75" s="5">
        <v>13.72</v>
      </c>
      <c r="I75" s="102">
        <f>56/30*84</f>
        <v>156.80000000000001</v>
      </c>
      <c r="J75" s="5">
        <v>95</v>
      </c>
      <c r="K75" s="5"/>
      <c r="L75" s="6">
        <v>140</v>
      </c>
      <c r="M75" s="61">
        <v>56</v>
      </c>
      <c r="N75" s="6">
        <f>(140-56)*0.7</f>
        <v>58.8</v>
      </c>
    </row>
    <row r="76" spans="1:16">
      <c r="A76" s="44" t="s">
        <v>172</v>
      </c>
      <c r="B76" s="44"/>
      <c r="C76" s="4">
        <v>44705</v>
      </c>
      <c r="D76" s="4"/>
      <c r="E76" s="4">
        <v>44715</v>
      </c>
      <c r="F76" s="40"/>
      <c r="G76" s="5"/>
      <c r="H76" s="5">
        <v>10.039999999999999</v>
      </c>
      <c r="I76" s="102">
        <f>25/30*9</f>
        <v>7.5</v>
      </c>
      <c r="J76" s="5"/>
      <c r="K76" s="5"/>
      <c r="L76" s="6">
        <v>50</v>
      </c>
      <c r="M76" s="61">
        <v>25</v>
      </c>
      <c r="N76" s="6">
        <f>(50-25)*0.7</f>
        <v>17.5</v>
      </c>
    </row>
    <row r="77" spans="1:16">
      <c r="A77" s="44" t="s">
        <v>173</v>
      </c>
      <c r="B77" s="44"/>
      <c r="C77" s="4">
        <v>44704</v>
      </c>
      <c r="D77" s="4"/>
      <c r="E77" s="4">
        <v>44721</v>
      </c>
      <c r="F77" s="10" t="s">
        <v>161</v>
      </c>
      <c r="G77" s="56">
        <v>12.5</v>
      </c>
      <c r="H77" s="5">
        <v>13.72</v>
      </c>
      <c r="I77" s="102">
        <f>37/30*16</f>
        <v>19.733333333333334</v>
      </c>
      <c r="J77" s="5">
        <f>50+45</f>
        <v>95</v>
      </c>
      <c r="K77" s="5"/>
      <c r="L77" s="6">
        <v>129</v>
      </c>
      <c r="M77" s="61">
        <v>54.5</v>
      </c>
      <c r="N77" s="56">
        <f>12.5+(116.5-54.5)*0.7</f>
        <v>55.9</v>
      </c>
    </row>
    <row r="78" spans="1:16">
      <c r="A78" s="44" t="s">
        <v>174</v>
      </c>
      <c r="B78" s="44"/>
      <c r="C78" s="4">
        <v>44715</v>
      </c>
      <c r="D78" s="4"/>
      <c r="E78" s="4">
        <v>44820</v>
      </c>
      <c r="F78" s="10" t="s">
        <v>161</v>
      </c>
      <c r="G78" s="56">
        <v>15</v>
      </c>
      <c r="H78" s="5">
        <v>14.6</v>
      </c>
      <c r="I78" s="102">
        <f>56/30*103</f>
        <v>192.26666666666668</v>
      </c>
      <c r="J78" s="5">
        <v>50</v>
      </c>
      <c r="K78" s="5"/>
      <c r="L78" s="6">
        <f>130</f>
        <v>130</v>
      </c>
      <c r="M78" s="61">
        <v>56</v>
      </c>
      <c r="N78" s="56">
        <f>15+(115-56)*0.7</f>
        <v>56.3</v>
      </c>
    </row>
    <row r="79" spans="1:16">
      <c r="A79" s="44" t="s">
        <v>183</v>
      </c>
      <c r="B79" s="44"/>
      <c r="C79" s="4">
        <v>44749</v>
      </c>
      <c r="D79" s="4">
        <v>44830</v>
      </c>
      <c r="E79" s="4">
        <v>44858</v>
      </c>
      <c r="F79" s="40"/>
      <c r="G79" s="5"/>
      <c r="H79" s="5">
        <v>11.03</v>
      </c>
      <c r="I79" s="102">
        <v>25</v>
      </c>
      <c r="J79" s="5">
        <v>15</v>
      </c>
      <c r="K79" s="5"/>
      <c r="L79" s="6">
        <v>80</v>
      </c>
      <c r="M79" s="61">
        <v>25</v>
      </c>
      <c r="N79" s="6">
        <f>55*0.7</f>
        <v>38.5</v>
      </c>
    </row>
    <row r="80" spans="1:16">
      <c r="A80" s="44" t="s">
        <v>184</v>
      </c>
      <c r="B80" s="44"/>
      <c r="C80" s="4">
        <v>44775</v>
      </c>
      <c r="D80" s="4">
        <v>44810</v>
      </c>
      <c r="E80" s="4">
        <v>44848</v>
      </c>
      <c r="F80" s="40"/>
      <c r="G80" s="5"/>
      <c r="H80" s="5">
        <v>23.38</v>
      </c>
      <c r="I80" s="102">
        <f>100/30*38</f>
        <v>126.66666666666667</v>
      </c>
      <c r="J80" s="5">
        <v>155</v>
      </c>
      <c r="K80" s="5"/>
      <c r="L80" s="6">
        <v>220</v>
      </c>
      <c r="M80" s="61">
        <v>100</v>
      </c>
      <c r="N80" s="6">
        <v>90.75</v>
      </c>
    </row>
    <row r="81" spans="1:14">
      <c r="A81" s="44" t="s">
        <v>185</v>
      </c>
      <c r="B81" s="44"/>
      <c r="C81" s="4">
        <v>44830</v>
      </c>
      <c r="D81" s="4">
        <v>44852</v>
      </c>
      <c r="E81" s="4">
        <v>44858</v>
      </c>
      <c r="F81" s="10" t="s">
        <v>161</v>
      </c>
      <c r="G81" s="12">
        <v>15</v>
      </c>
      <c r="H81" s="5">
        <v>23.38</v>
      </c>
      <c r="I81" s="102">
        <f>54.5/30*6</f>
        <v>10.9</v>
      </c>
      <c r="J81" s="5">
        <v>95</v>
      </c>
      <c r="K81" s="5"/>
      <c r="L81" s="6">
        <v>160</v>
      </c>
      <c r="M81" s="61">
        <v>64.5</v>
      </c>
      <c r="N81" s="6">
        <f>15+(145-64.5)*0.7</f>
        <v>71.349999999999994</v>
      </c>
    </row>
    <row r="82" spans="1:14">
      <c r="A82" s="44" t="s">
        <v>190</v>
      </c>
      <c r="B82" s="44"/>
      <c r="C82" s="4"/>
      <c r="D82" s="4">
        <v>44879</v>
      </c>
      <c r="E82" s="35">
        <v>44887</v>
      </c>
      <c r="F82" s="44" t="s">
        <v>161</v>
      </c>
      <c r="G82" s="56">
        <v>10</v>
      </c>
      <c r="H82" s="5">
        <v>14.6</v>
      </c>
      <c r="I82" s="102">
        <f>34/30*8</f>
        <v>9.0666666666666664</v>
      </c>
      <c r="J82" s="5">
        <v>45</v>
      </c>
      <c r="K82" s="5"/>
      <c r="L82" s="6">
        <v>75</v>
      </c>
      <c r="M82" s="61">
        <v>34</v>
      </c>
      <c r="N82" s="56">
        <f>10+(80-34)*0.7</f>
        <v>42.199999999999996</v>
      </c>
    </row>
    <row r="83" spans="1:14">
      <c r="A83" s="44" t="s">
        <v>193</v>
      </c>
      <c r="B83" s="44"/>
      <c r="C83" s="4">
        <v>44872</v>
      </c>
      <c r="D83" s="4">
        <v>44879</v>
      </c>
      <c r="E83" s="35">
        <v>44882</v>
      </c>
      <c r="F83" s="40"/>
      <c r="G83" s="5"/>
      <c r="H83" s="5">
        <v>10.039999999999999</v>
      </c>
      <c r="I83" s="102">
        <f>25/30*3</f>
        <v>2.5</v>
      </c>
      <c r="J83" s="5"/>
      <c r="K83" s="5"/>
      <c r="L83" s="6">
        <v>40</v>
      </c>
      <c r="M83" s="61">
        <v>25</v>
      </c>
      <c r="N83" s="6">
        <f>(L83-M83)*0.7</f>
        <v>10.5</v>
      </c>
    </row>
    <row r="84" spans="1:14">
      <c r="A84" s="44" t="s">
        <v>213</v>
      </c>
      <c r="B84" s="44"/>
      <c r="C84" s="4">
        <v>44894</v>
      </c>
      <c r="D84" s="4">
        <v>44908</v>
      </c>
      <c r="E84" s="35">
        <v>44944</v>
      </c>
      <c r="F84" s="40" t="s">
        <v>161</v>
      </c>
      <c r="G84" s="5">
        <v>15</v>
      </c>
      <c r="H84" s="5">
        <v>31.72</v>
      </c>
      <c r="I84" s="102">
        <f>50/30*35</f>
        <v>58.333333333333336</v>
      </c>
      <c r="J84" s="5">
        <f>60+50</f>
        <v>110</v>
      </c>
      <c r="K84" s="5"/>
      <c r="L84" s="6">
        <v>119</v>
      </c>
      <c r="M84" s="61">
        <v>54</v>
      </c>
      <c r="N84" s="94">
        <f>15+(L84-M84-15)*0.7</f>
        <v>50</v>
      </c>
    </row>
    <row r="85" spans="1:14">
      <c r="A85" s="44" t="s">
        <v>227</v>
      </c>
      <c r="B85" s="44"/>
      <c r="C85" s="4">
        <v>44949</v>
      </c>
      <c r="D85" s="4">
        <v>44953</v>
      </c>
      <c r="E85" s="35">
        <v>44966</v>
      </c>
      <c r="F85" s="40" t="s">
        <v>160</v>
      </c>
      <c r="G85" s="5">
        <v>15</v>
      </c>
      <c r="H85" s="5">
        <v>16.38</v>
      </c>
      <c r="I85" s="102">
        <f>61.5/30*12</f>
        <v>24.599999999999998</v>
      </c>
      <c r="J85" s="5">
        <f>50+60</f>
        <v>110</v>
      </c>
      <c r="K85" s="5"/>
      <c r="L85" s="6">
        <v>160</v>
      </c>
      <c r="M85" s="65">
        <f>32.5+7+22</f>
        <v>61.5</v>
      </c>
      <c r="N85" s="59">
        <f>15+(L85-M85-15)*0.7</f>
        <v>73.449999999999989</v>
      </c>
    </row>
    <row r="86" spans="1:14">
      <c r="A86" s="44" t="s">
        <v>228</v>
      </c>
      <c r="B86" s="44"/>
      <c r="C86" s="4">
        <v>44957</v>
      </c>
      <c r="D86" s="4">
        <v>44957</v>
      </c>
      <c r="E86" s="35">
        <v>44977</v>
      </c>
      <c r="F86" s="40"/>
      <c r="G86" s="5"/>
      <c r="H86" s="5">
        <v>20.61</v>
      </c>
      <c r="I86" s="102">
        <f>66/30*20</f>
        <v>44</v>
      </c>
      <c r="J86" s="5">
        <v>90</v>
      </c>
      <c r="K86" s="5"/>
      <c r="L86" s="6">
        <v>155</v>
      </c>
      <c r="M86" s="65">
        <v>54</v>
      </c>
      <c r="N86" s="59">
        <f>(L86-M86)*0.7</f>
        <v>70.699999999999989</v>
      </c>
    </row>
    <row r="87" spans="1:14">
      <c r="A87" s="44" t="s">
        <v>255</v>
      </c>
      <c r="B87" s="44"/>
      <c r="C87" s="35">
        <v>44691</v>
      </c>
      <c r="D87" s="35">
        <v>44994</v>
      </c>
      <c r="E87" s="4">
        <v>44994</v>
      </c>
      <c r="F87" s="40"/>
      <c r="G87" s="40"/>
      <c r="H87" s="5">
        <v>11.03</v>
      </c>
      <c r="I87" s="102">
        <f>25*14</f>
        <v>350</v>
      </c>
      <c r="J87" s="40">
        <f>30+50</f>
        <v>80</v>
      </c>
      <c r="K87" s="40"/>
      <c r="L87" s="6">
        <v>109</v>
      </c>
      <c r="M87" s="6">
        <f>38+7</f>
        <v>45</v>
      </c>
      <c r="N87" s="59">
        <f>(L87-M87)*0.7</f>
        <v>44.8</v>
      </c>
    </row>
    <row r="88" spans="1:14">
      <c r="A88" s="44" t="s">
        <v>187</v>
      </c>
      <c r="B88" s="44"/>
      <c r="C88" s="35"/>
      <c r="D88" s="35">
        <v>44991</v>
      </c>
      <c r="E88" s="4">
        <v>44991</v>
      </c>
      <c r="F88" s="40"/>
      <c r="G88" s="40"/>
      <c r="H88" s="5">
        <v>13.31</v>
      </c>
      <c r="I88" s="102"/>
      <c r="J88" s="40">
        <v>45</v>
      </c>
      <c r="K88" s="40"/>
      <c r="L88" s="6">
        <v>80</v>
      </c>
      <c r="M88" s="6">
        <v>27</v>
      </c>
      <c r="N88" s="59">
        <f>(L88-M88)*0.7</f>
        <v>37.099999999999994</v>
      </c>
    </row>
    <row r="89" spans="1:14">
      <c r="A89" s="76" t="s">
        <v>276</v>
      </c>
      <c r="B89" s="44"/>
      <c r="C89" s="35">
        <v>45061</v>
      </c>
      <c r="D89" s="35">
        <v>45070</v>
      </c>
      <c r="E89" s="4"/>
      <c r="F89" s="40"/>
      <c r="G89" s="40"/>
      <c r="H89" s="5">
        <v>11.48</v>
      </c>
      <c r="I89" s="102">
        <f>21/30*9</f>
        <v>6.3</v>
      </c>
      <c r="J89" s="40"/>
      <c r="K89" s="40"/>
      <c r="L89" s="17">
        <f>50</f>
        <v>50</v>
      </c>
      <c r="M89" s="18">
        <v>21</v>
      </c>
      <c r="N89" s="70">
        <f>(50-21)*0.7</f>
        <v>20.299999999999997</v>
      </c>
    </row>
    <row r="90" spans="1:14">
      <c r="A90" s="76" t="s">
        <v>279</v>
      </c>
      <c r="B90" s="44"/>
      <c r="C90" s="35">
        <v>45065</v>
      </c>
      <c r="D90" s="35">
        <v>45070</v>
      </c>
      <c r="E90" s="4"/>
      <c r="F90" s="40"/>
      <c r="G90" s="40"/>
      <c r="H90" s="5">
        <v>11.48</v>
      </c>
      <c r="I90" s="102">
        <f>21/30*5</f>
        <v>3.5</v>
      </c>
      <c r="J90" s="40"/>
      <c r="K90" s="40"/>
      <c r="L90" s="17">
        <f>50</f>
        <v>50</v>
      </c>
      <c r="M90" s="18">
        <v>21</v>
      </c>
      <c r="N90" s="70">
        <f>(50-21)*0.7</f>
        <v>20.299999999999997</v>
      </c>
    </row>
    <row r="91" spans="1:14">
      <c r="A91" s="76" t="s">
        <v>278</v>
      </c>
      <c r="B91" s="52"/>
      <c r="C91" s="57">
        <v>44973</v>
      </c>
      <c r="D91" s="57">
        <v>45070</v>
      </c>
      <c r="E91" s="24"/>
      <c r="F91" s="48"/>
      <c r="G91" s="48"/>
      <c r="H91" s="25">
        <v>11.48</v>
      </c>
      <c r="I91" s="103">
        <f>21/30*98</f>
        <v>68.599999999999994</v>
      </c>
      <c r="J91" s="48"/>
      <c r="K91" s="48"/>
      <c r="L91" s="17">
        <v>50</v>
      </c>
      <c r="M91" s="26">
        <v>21</v>
      </c>
      <c r="N91" s="85">
        <f>(50-21)*0.7</f>
        <v>20.299999999999997</v>
      </c>
    </row>
    <row r="92" spans="1:14">
      <c r="A92" s="44" t="s">
        <v>289</v>
      </c>
      <c r="B92" s="44"/>
      <c r="C92" s="35">
        <v>45110</v>
      </c>
      <c r="D92" s="35">
        <v>45127</v>
      </c>
      <c r="E92" s="4">
        <v>45110</v>
      </c>
      <c r="F92" s="40"/>
      <c r="G92" s="40"/>
      <c r="H92" s="5">
        <v>13.31</v>
      </c>
      <c r="I92" s="102">
        <f>27/30*17</f>
        <v>15.3</v>
      </c>
      <c r="J92" s="40">
        <v>45</v>
      </c>
      <c r="K92" s="40"/>
      <c r="L92" s="6">
        <v>75</v>
      </c>
      <c r="M92" s="6">
        <v>27</v>
      </c>
      <c r="N92" s="59">
        <f>(L92-M92)*0.7</f>
        <v>33.599999999999994</v>
      </c>
    </row>
    <row r="93" spans="1:14">
      <c r="A93" s="44" t="s">
        <v>292</v>
      </c>
      <c r="B93" s="44"/>
      <c r="C93" s="35">
        <v>45138</v>
      </c>
      <c r="D93" s="35">
        <v>45139</v>
      </c>
      <c r="E93" s="35">
        <v>45162</v>
      </c>
      <c r="F93" s="40"/>
      <c r="G93" s="40"/>
      <c r="H93" s="5">
        <v>12.48</v>
      </c>
      <c r="I93" s="102">
        <f>27/30*23</f>
        <v>20.7</v>
      </c>
      <c r="J93" s="40">
        <v>45</v>
      </c>
      <c r="K93" s="40"/>
      <c r="L93" s="6">
        <v>90</v>
      </c>
      <c r="M93" s="6">
        <v>27</v>
      </c>
      <c r="N93" s="59">
        <f>(L93-M93)*0.7</f>
        <v>44.099999999999994</v>
      </c>
    </row>
    <row r="94" spans="1:14">
      <c r="A94" s="44" t="s">
        <v>293</v>
      </c>
      <c r="B94" s="44"/>
      <c r="C94" s="35">
        <v>45086</v>
      </c>
      <c r="D94" s="35">
        <v>45089</v>
      </c>
      <c r="E94" s="4">
        <v>45103</v>
      </c>
      <c r="F94" s="40"/>
      <c r="G94" s="40"/>
      <c r="H94" s="5">
        <v>11.03</v>
      </c>
      <c r="I94" s="102">
        <f>21/30*14</f>
        <v>9.7999999999999989</v>
      </c>
      <c r="J94" s="40"/>
      <c r="K94" s="40"/>
      <c r="L94" s="6">
        <v>50</v>
      </c>
      <c r="M94" s="6">
        <v>21</v>
      </c>
      <c r="N94" s="59">
        <f>(L94-M94)*0.7</f>
        <v>20.299999999999997</v>
      </c>
    </row>
    <row r="95" spans="1:14">
      <c r="A95" s="44" t="s">
        <v>295</v>
      </c>
      <c r="B95" s="44"/>
      <c r="C95" s="35">
        <v>45228</v>
      </c>
      <c r="D95" s="35">
        <v>45203</v>
      </c>
      <c r="E95" s="4"/>
      <c r="F95" s="40"/>
      <c r="G95" s="40"/>
      <c r="H95" s="5">
        <v>13.31</v>
      </c>
      <c r="I95" s="102">
        <f>27/30*5</f>
        <v>4.5</v>
      </c>
      <c r="J95" s="40">
        <v>45</v>
      </c>
      <c r="K95" s="40"/>
      <c r="L95" s="6">
        <v>80</v>
      </c>
      <c r="M95" s="6">
        <v>27</v>
      </c>
      <c r="N95" s="59">
        <f>(L95-M95)*0.7</f>
        <v>37.099999999999994</v>
      </c>
    </row>
    <row r="96" spans="1:14">
      <c r="A96" s="44" t="s">
        <v>320</v>
      </c>
      <c r="B96" s="44"/>
      <c r="C96" s="35">
        <v>45177</v>
      </c>
      <c r="D96" s="35">
        <v>45196</v>
      </c>
      <c r="E96" s="4"/>
      <c r="F96" s="40"/>
      <c r="G96" s="40"/>
      <c r="H96" s="5">
        <v>10.44</v>
      </c>
      <c r="I96" s="102">
        <f>38/30*21</f>
        <v>26.599999999999998</v>
      </c>
      <c r="J96" s="40"/>
      <c r="K96" s="40"/>
      <c r="L96" s="6">
        <v>69</v>
      </c>
      <c r="M96" s="6">
        <v>38</v>
      </c>
      <c r="N96" s="59">
        <f>(69-38)*0.7</f>
        <v>21.7</v>
      </c>
    </row>
    <row r="97" spans="1:16">
      <c r="A97" s="44" t="s">
        <v>325</v>
      </c>
      <c r="B97" s="44"/>
      <c r="C97" s="35"/>
      <c r="D97" s="35">
        <v>45223</v>
      </c>
      <c r="E97" s="4">
        <v>45239</v>
      </c>
      <c r="F97" s="40"/>
      <c r="G97" s="40"/>
      <c r="H97" s="5">
        <v>40</v>
      </c>
      <c r="I97" s="102">
        <f>43/30*15</f>
        <v>21.5</v>
      </c>
      <c r="J97" s="40"/>
      <c r="K97" s="40"/>
      <c r="L97" s="6">
        <v>69</v>
      </c>
      <c r="M97" s="6">
        <v>43</v>
      </c>
      <c r="N97" s="94">
        <f>(69-43)*0.7</f>
        <v>18.2</v>
      </c>
      <c r="O97" s="72" t="s">
        <v>329</v>
      </c>
      <c r="P97" s="72">
        <v>12.74</v>
      </c>
    </row>
    <row r="98" spans="1:16">
      <c r="A98" s="44" t="s">
        <v>326</v>
      </c>
      <c r="B98" s="44"/>
      <c r="C98" s="35"/>
      <c r="D98" s="35">
        <v>45188</v>
      </c>
      <c r="E98" s="4">
        <v>45209</v>
      </c>
      <c r="F98" s="40"/>
      <c r="G98" s="40"/>
      <c r="H98" s="5">
        <v>11.48</v>
      </c>
      <c r="I98" s="102"/>
      <c r="J98" s="40"/>
      <c r="K98" s="40"/>
      <c r="L98" s="6">
        <v>59</v>
      </c>
      <c r="M98" s="6">
        <v>38</v>
      </c>
      <c r="N98" s="59">
        <f>(L98-M98)*0.7</f>
        <v>14.7</v>
      </c>
    </row>
    <row r="99" spans="1:16">
      <c r="A99" s="44" t="s">
        <v>108</v>
      </c>
      <c r="B99" s="44"/>
      <c r="C99" s="35"/>
      <c r="D99" s="35">
        <v>45231</v>
      </c>
      <c r="E99" s="4">
        <v>45231</v>
      </c>
      <c r="F99" s="40"/>
      <c r="G99" s="40"/>
      <c r="H99" s="5"/>
      <c r="I99" s="102"/>
      <c r="J99" s="40"/>
      <c r="K99" s="40"/>
      <c r="L99" s="6">
        <v>69</v>
      </c>
      <c r="M99" s="6">
        <v>43</v>
      </c>
      <c r="N99" s="59">
        <f>(L99-M99)*0.7</f>
        <v>18.2</v>
      </c>
    </row>
    <row r="100" spans="1:16">
      <c r="A100" s="44" t="s">
        <v>327</v>
      </c>
      <c r="B100" s="44"/>
      <c r="C100" s="35"/>
      <c r="D100" s="35"/>
      <c r="E100" s="4">
        <v>45127</v>
      </c>
      <c r="F100" s="40"/>
      <c r="G100" s="40"/>
      <c r="H100" s="5">
        <v>11.48</v>
      </c>
      <c r="I100" s="102"/>
      <c r="J100" s="40"/>
      <c r="K100" s="40"/>
      <c r="L100" s="6">
        <v>25</v>
      </c>
      <c r="M100" s="6">
        <v>9</v>
      </c>
      <c r="N100" s="59">
        <f>(L100-M100)*0.7</f>
        <v>11.2</v>
      </c>
    </row>
    <row r="101" spans="1:16">
      <c r="A101" s="44" t="s">
        <v>336</v>
      </c>
      <c r="B101" s="44"/>
      <c r="C101" s="35"/>
      <c r="D101" s="35">
        <v>45278</v>
      </c>
      <c r="E101" s="4">
        <v>45278</v>
      </c>
      <c r="F101" s="40"/>
      <c r="G101" s="40"/>
      <c r="H101" s="5"/>
      <c r="I101" s="102"/>
      <c r="J101" s="40"/>
      <c r="K101" s="40"/>
      <c r="L101" s="6">
        <v>69</v>
      </c>
      <c r="M101" s="6">
        <v>43</v>
      </c>
      <c r="N101" s="59">
        <f>(69-43)*0.7/30*42</f>
        <v>25.48</v>
      </c>
    </row>
    <row r="102" spans="1:16">
      <c r="A102" s="44" t="s">
        <v>337</v>
      </c>
      <c r="B102" s="44"/>
      <c r="C102" s="35">
        <v>45342</v>
      </c>
      <c r="D102" s="35">
        <v>44977</v>
      </c>
      <c r="E102" s="4">
        <v>45342</v>
      </c>
      <c r="F102" s="40"/>
      <c r="G102" s="40"/>
      <c r="H102" s="5">
        <v>13.78</v>
      </c>
      <c r="I102" s="102"/>
      <c r="J102" s="40">
        <f>45+50</f>
        <v>95</v>
      </c>
      <c r="K102" s="40"/>
      <c r="L102" s="6">
        <v>100</v>
      </c>
      <c r="M102" s="6">
        <v>38.5</v>
      </c>
      <c r="N102" s="59">
        <f t="shared" ref="N102:N123" si="2">(L102-M102)*0.7</f>
        <v>43.05</v>
      </c>
    </row>
    <row r="103" spans="1:16">
      <c r="A103" s="44" t="s">
        <v>338</v>
      </c>
      <c r="B103" s="44"/>
      <c r="C103" s="35">
        <v>45271</v>
      </c>
      <c r="D103" s="35"/>
      <c r="E103" s="4">
        <v>45301</v>
      </c>
      <c r="F103" s="40"/>
      <c r="G103" s="40"/>
      <c r="H103" s="5">
        <v>14.26</v>
      </c>
      <c r="I103" s="102">
        <f>25/30*29</f>
        <v>24.166666666666668</v>
      </c>
      <c r="J103" s="40">
        <f>30+50</f>
        <v>80</v>
      </c>
      <c r="K103" s="40"/>
      <c r="L103" s="6">
        <v>80</v>
      </c>
      <c r="M103" s="6">
        <v>29</v>
      </c>
      <c r="N103" s="59">
        <f t="shared" si="2"/>
        <v>35.699999999999996</v>
      </c>
      <c r="O103" t="s">
        <v>339</v>
      </c>
    </row>
    <row r="104" spans="1:16">
      <c r="A104" s="44" t="s">
        <v>333</v>
      </c>
      <c r="B104" s="44"/>
      <c r="C104" s="35"/>
      <c r="D104" s="35"/>
      <c r="E104" s="4">
        <v>45336</v>
      </c>
      <c r="F104" s="40"/>
      <c r="G104" s="40"/>
      <c r="H104" s="5">
        <v>10</v>
      </c>
      <c r="I104" s="102">
        <v>0</v>
      </c>
      <c r="J104" s="40">
        <v>120</v>
      </c>
      <c r="K104" s="40"/>
      <c r="L104" s="6">
        <v>160</v>
      </c>
      <c r="M104" s="6">
        <v>72</v>
      </c>
      <c r="N104" s="59">
        <f t="shared" si="2"/>
        <v>61.599999999999994</v>
      </c>
    </row>
    <row r="105" spans="1:16">
      <c r="A105" s="44" t="s">
        <v>343</v>
      </c>
      <c r="B105" s="44"/>
      <c r="C105" s="35"/>
      <c r="D105" s="35"/>
      <c r="E105" s="4">
        <v>45336</v>
      </c>
      <c r="F105" s="40"/>
      <c r="G105" s="40"/>
      <c r="H105" s="5">
        <v>10.92</v>
      </c>
      <c r="I105" s="102"/>
      <c r="J105" s="40"/>
      <c r="K105" s="40"/>
      <c r="L105" s="6">
        <v>59</v>
      </c>
      <c r="M105" s="6">
        <v>38</v>
      </c>
      <c r="N105" s="59">
        <f t="shared" si="2"/>
        <v>14.7</v>
      </c>
    </row>
    <row r="106" spans="1:16">
      <c r="A106" s="44" t="s">
        <v>381</v>
      </c>
      <c r="B106" s="44"/>
      <c r="C106" s="35"/>
      <c r="D106" s="35">
        <v>45323</v>
      </c>
      <c r="E106" s="4">
        <v>45323</v>
      </c>
      <c r="F106" s="40"/>
      <c r="G106" s="40"/>
      <c r="H106" s="5">
        <v>10.92</v>
      </c>
      <c r="I106" s="102"/>
      <c r="J106" s="40"/>
      <c r="K106" s="40"/>
      <c r="L106" s="6">
        <v>59</v>
      </c>
      <c r="M106" s="6">
        <v>38</v>
      </c>
      <c r="N106" s="59">
        <f t="shared" si="2"/>
        <v>14.7</v>
      </c>
    </row>
    <row r="107" spans="1:16">
      <c r="A107" s="44" t="s">
        <v>345</v>
      </c>
      <c r="B107" s="44"/>
      <c r="C107" s="35"/>
      <c r="D107" s="35"/>
      <c r="E107" s="4">
        <v>45345</v>
      </c>
      <c r="F107" s="40"/>
      <c r="G107" s="40"/>
      <c r="H107" s="5">
        <v>24.2</v>
      </c>
      <c r="I107" s="102"/>
      <c r="J107" s="40">
        <v>45</v>
      </c>
      <c r="K107" s="40"/>
      <c r="L107" s="6">
        <v>90</v>
      </c>
      <c r="M107" s="6">
        <f>7+9</f>
        <v>16</v>
      </c>
      <c r="N107" s="59">
        <f t="shared" si="2"/>
        <v>51.8</v>
      </c>
    </row>
    <row r="108" spans="1:16">
      <c r="A108" s="44" t="s">
        <v>346</v>
      </c>
      <c r="B108" s="44"/>
      <c r="C108" s="35"/>
      <c r="D108" s="35"/>
      <c r="E108" s="4">
        <v>45334</v>
      </c>
      <c r="F108" s="40"/>
      <c r="G108" s="40"/>
      <c r="H108" s="5">
        <v>12.01</v>
      </c>
      <c r="I108" s="102"/>
      <c r="J108" s="40">
        <v>15</v>
      </c>
      <c r="K108" s="40"/>
      <c r="L108" s="6">
        <v>20</v>
      </c>
      <c r="M108" s="6">
        <v>9</v>
      </c>
      <c r="N108" s="70">
        <f t="shared" si="2"/>
        <v>7.6999999999999993</v>
      </c>
    </row>
    <row r="109" spans="1:16">
      <c r="A109" s="44" t="s">
        <v>361</v>
      </c>
      <c r="B109" s="44"/>
      <c r="C109" s="35"/>
      <c r="D109" s="35">
        <v>45366</v>
      </c>
      <c r="E109" s="4">
        <v>45385</v>
      </c>
      <c r="F109" s="40"/>
      <c r="G109" s="40"/>
      <c r="H109" s="5"/>
      <c r="I109" s="102">
        <f>69/30*18</f>
        <v>41.4</v>
      </c>
      <c r="J109" s="40"/>
      <c r="K109" s="40"/>
      <c r="L109" s="6">
        <v>69</v>
      </c>
      <c r="M109" s="6">
        <v>43</v>
      </c>
      <c r="N109" s="70">
        <f t="shared" si="2"/>
        <v>18.2</v>
      </c>
    </row>
    <row r="110" spans="1:16">
      <c r="A110" s="44" t="s">
        <v>365</v>
      </c>
      <c r="B110" s="44"/>
      <c r="C110" s="35"/>
      <c r="D110" s="35">
        <v>45450</v>
      </c>
      <c r="E110" s="4">
        <v>45456</v>
      </c>
      <c r="F110" s="40"/>
      <c r="G110" s="40"/>
      <c r="H110" s="5"/>
      <c r="I110" s="102">
        <f>47/30*5</f>
        <v>7.833333333333333</v>
      </c>
      <c r="J110" s="40"/>
      <c r="K110" s="40"/>
      <c r="L110" s="6">
        <v>69</v>
      </c>
      <c r="M110" s="6">
        <v>47</v>
      </c>
      <c r="N110" s="59">
        <f t="shared" si="2"/>
        <v>15.399999999999999</v>
      </c>
    </row>
    <row r="111" spans="1:16">
      <c r="A111" s="44" t="s">
        <v>358</v>
      </c>
      <c r="B111" s="44"/>
      <c r="C111" s="35"/>
      <c r="D111" s="35">
        <v>45468</v>
      </c>
      <c r="E111" s="4">
        <v>45468</v>
      </c>
      <c r="F111" s="40"/>
      <c r="G111" s="40"/>
      <c r="H111" s="5">
        <v>12.01</v>
      </c>
      <c r="I111" s="102"/>
      <c r="J111" s="40"/>
      <c r="K111" s="40"/>
      <c r="L111" s="6">
        <v>59</v>
      </c>
      <c r="M111" s="6">
        <v>38</v>
      </c>
      <c r="N111" s="59">
        <f t="shared" si="2"/>
        <v>14.7</v>
      </c>
    </row>
    <row r="112" spans="1:16">
      <c r="A112" s="44" t="s">
        <v>218</v>
      </c>
      <c r="B112" s="44"/>
      <c r="C112" s="35"/>
      <c r="D112" s="35">
        <v>45456</v>
      </c>
      <c r="E112" s="4">
        <v>45456</v>
      </c>
      <c r="F112" s="40"/>
      <c r="G112" s="40"/>
      <c r="H112" s="5">
        <v>10</v>
      </c>
      <c r="I112" s="102"/>
      <c r="J112" s="40">
        <v>45</v>
      </c>
      <c r="K112" s="40"/>
      <c r="L112" s="6">
        <v>80</v>
      </c>
      <c r="M112" s="6">
        <v>27</v>
      </c>
      <c r="N112" s="59">
        <f t="shared" si="2"/>
        <v>37.099999999999994</v>
      </c>
    </row>
    <row r="113" spans="1:14">
      <c r="A113" s="44" t="s">
        <v>366</v>
      </c>
      <c r="B113" s="44"/>
      <c r="C113" s="35"/>
      <c r="D113" s="35">
        <v>45454</v>
      </c>
      <c r="E113" s="4"/>
      <c r="F113" s="40"/>
      <c r="G113" s="40"/>
      <c r="H113" s="5"/>
      <c r="I113" s="102"/>
      <c r="J113" s="40"/>
      <c r="K113" s="40"/>
      <c r="L113" s="6">
        <v>59</v>
      </c>
      <c r="M113" s="6">
        <v>38</v>
      </c>
      <c r="N113" s="59">
        <f t="shared" si="2"/>
        <v>14.7</v>
      </c>
    </row>
    <row r="114" spans="1:14">
      <c r="A114" s="44" t="s">
        <v>64</v>
      </c>
      <c r="B114" s="44"/>
      <c r="C114" s="35"/>
      <c r="D114" s="35">
        <v>45469</v>
      </c>
      <c r="E114" s="4">
        <v>45469</v>
      </c>
      <c r="F114" s="40"/>
      <c r="G114" s="40"/>
      <c r="H114" s="5"/>
      <c r="I114" s="102"/>
      <c r="J114" s="40"/>
      <c r="K114" s="40"/>
      <c r="L114" s="6">
        <v>100</v>
      </c>
      <c r="M114" s="18">
        <v>5</v>
      </c>
      <c r="N114" s="59">
        <f t="shared" si="2"/>
        <v>66.5</v>
      </c>
    </row>
    <row r="115" spans="1:14">
      <c r="A115" s="44" t="s">
        <v>369</v>
      </c>
      <c r="B115" s="44"/>
      <c r="C115" s="35"/>
      <c r="D115" s="35">
        <v>45464</v>
      </c>
      <c r="E115" s="4">
        <v>41811</v>
      </c>
      <c r="F115" s="40"/>
      <c r="G115" s="40"/>
      <c r="H115" s="5">
        <v>24.98</v>
      </c>
      <c r="I115" s="102"/>
      <c r="J115" s="40">
        <v>15</v>
      </c>
      <c r="K115" s="40"/>
      <c r="L115" s="6">
        <v>80</v>
      </c>
      <c r="M115" s="6">
        <v>42.5</v>
      </c>
      <c r="N115" s="59">
        <f t="shared" si="2"/>
        <v>26.25</v>
      </c>
    </row>
    <row r="116" spans="1:14">
      <c r="A116" s="44" t="s">
        <v>370</v>
      </c>
      <c r="B116" s="44"/>
      <c r="C116" s="35"/>
      <c r="D116" s="35">
        <v>45444</v>
      </c>
      <c r="E116" s="4">
        <v>41791</v>
      </c>
      <c r="F116" s="40"/>
      <c r="G116" s="40"/>
      <c r="H116" s="5">
        <v>12.98</v>
      </c>
      <c r="I116" s="102"/>
      <c r="J116" s="40">
        <v>30</v>
      </c>
      <c r="K116" s="40"/>
      <c r="L116" s="6">
        <v>65</v>
      </c>
      <c r="M116" s="6">
        <v>18</v>
      </c>
      <c r="N116" s="59">
        <f t="shared" si="2"/>
        <v>32.9</v>
      </c>
    </row>
    <row r="117" spans="1:14">
      <c r="A117" s="44" t="s">
        <v>375</v>
      </c>
      <c r="B117" s="44"/>
      <c r="C117" s="35"/>
      <c r="D117" s="35">
        <v>45471</v>
      </c>
      <c r="E117" s="35">
        <v>45471</v>
      </c>
      <c r="F117" s="40"/>
      <c r="G117" s="40"/>
      <c r="H117" s="5">
        <f>10+12.01</f>
        <v>22.009999999999998</v>
      </c>
      <c r="I117" s="102"/>
      <c r="J117" s="40">
        <v>30</v>
      </c>
      <c r="K117" s="40"/>
      <c r="L117" s="6">
        <v>90</v>
      </c>
      <c r="M117" s="18">
        <f>38.5+1+18</f>
        <v>57.5</v>
      </c>
      <c r="N117" s="70">
        <f t="shared" si="2"/>
        <v>22.75</v>
      </c>
    </row>
    <row r="118" spans="1:14">
      <c r="A118" s="44" t="s">
        <v>83</v>
      </c>
      <c r="B118" s="44"/>
      <c r="C118" s="35"/>
      <c r="D118" s="35">
        <v>45482</v>
      </c>
      <c r="E118" s="35">
        <v>45482</v>
      </c>
      <c r="F118" s="40"/>
      <c r="G118" s="40"/>
      <c r="H118" s="5"/>
      <c r="I118" s="102"/>
      <c r="J118" s="40"/>
      <c r="K118" s="40"/>
      <c r="L118" s="6">
        <v>69</v>
      </c>
      <c r="M118" s="18">
        <v>43</v>
      </c>
      <c r="N118" s="70">
        <f t="shared" si="2"/>
        <v>18.2</v>
      </c>
    </row>
    <row r="119" spans="1:14">
      <c r="A119" s="44" t="s">
        <v>383</v>
      </c>
      <c r="B119" s="44"/>
      <c r="C119" s="35"/>
      <c r="D119" s="35">
        <v>45434</v>
      </c>
      <c r="E119" s="35">
        <v>45513</v>
      </c>
      <c r="F119" s="40"/>
      <c r="G119" s="40"/>
      <c r="H119" s="5">
        <v>14.58</v>
      </c>
      <c r="I119" s="102"/>
      <c r="J119" s="40"/>
      <c r="K119" s="40"/>
      <c r="L119" s="6">
        <v>69</v>
      </c>
      <c r="M119" s="18">
        <v>43</v>
      </c>
      <c r="N119" s="70">
        <f t="shared" si="2"/>
        <v>18.2</v>
      </c>
    </row>
    <row r="120" spans="1:14">
      <c r="A120" s="44" t="s">
        <v>384</v>
      </c>
      <c r="B120" s="44"/>
      <c r="C120" s="35"/>
      <c r="D120" s="35"/>
      <c r="E120" s="35">
        <v>45513</v>
      </c>
      <c r="F120" s="40"/>
      <c r="G120" s="40"/>
      <c r="H120" s="5"/>
      <c r="I120" s="102"/>
      <c r="J120" s="40">
        <v>60</v>
      </c>
      <c r="K120" s="40"/>
      <c r="L120" s="6">
        <v>115</v>
      </c>
      <c r="M120" s="6">
        <v>37</v>
      </c>
      <c r="N120" s="70">
        <f t="shared" si="2"/>
        <v>54.599999999999994</v>
      </c>
    </row>
    <row r="121" spans="1:14">
      <c r="A121" s="44" t="s">
        <v>389</v>
      </c>
      <c r="B121" s="44"/>
      <c r="C121" s="35"/>
      <c r="D121" s="35">
        <v>45574</v>
      </c>
      <c r="E121" s="35">
        <v>45574</v>
      </c>
      <c r="F121" s="40"/>
      <c r="G121" s="40"/>
      <c r="H121" s="5"/>
      <c r="I121" s="102"/>
      <c r="J121" s="40"/>
      <c r="K121" s="40"/>
      <c r="L121" s="6">
        <v>10</v>
      </c>
      <c r="M121" s="6">
        <v>1</v>
      </c>
      <c r="N121" s="59">
        <f t="shared" si="2"/>
        <v>6.3</v>
      </c>
    </row>
    <row r="122" spans="1:14">
      <c r="A122" s="44" t="s">
        <v>397</v>
      </c>
      <c r="B122" s="44"/>
      <c r="C122" s="35"/>
      <c r="D122" s="35">
        <v>45510</v>
      </c>
      <c r="E122" s="35">
        <v>45574</v>
      </c>
      <c r="F122" s="40"/>
      <c r="G122" s="40"/>
      <c r="H122" s="5">
        <v>31.89</v>
      </c>
      <c r="I122" s="102">
        <f>79/30*63*0.5</f>
        <v>82.95</v>
      </c>
      <c r="J122" s="40">
        <v>60</v>
      </c>
      <c r="K122" s="40"/>
      <c r="L122" s="6">
        <v>174</v>
      </c>
      <c r="M122" s="6">
        <v>79</v>
      </c>
      <c r="N122" s="59">
        <f t="shared" si="2"/>
        <v>66.5</v>
      </c>
    </row>
    <row r="123" spans="1:14">
      <c r="A123" s="44" t="s">
        <v>398</v>
      </c>
      <c r="B123" s="44"/>
      <c r="C123" s="35"/>
      <c r="D123" s="35">
        <v>45516</v>
      </c>
      <c r="E123" s="35">
        <v>45583</v>
      </c>
      <c r="F123" s="40"/>
      <c r="G123" s="40"/>
      <c r="H123" s="5"/>
      <c r="I123" s="102">
        <f>56.5/30*66*0.5</f>
        <v>62.15</v>
      </c>
      <c r="J123" s="40">
        <v>75</v>
      </c>
      <c r="K123" s="40"/>
      <c r="L123" s="6">
        <v>140</v>
      </c>
      <c r="M123" s="6">
        <v>56.5</v>
      </c>
      <c r="N123" s="59">
        <f t="shared" si="2"/>
        <v>58.449999999999996</v>
      </c>
    </row>
    <row r="124" spans="1:14">
      <c r="A124" s="44" t="s">
        <v>390</v>
      </c>
      <c r="B124" s="44"/>
      <c r="C124" s="35"/>
      <c r="D124" s="35">
        <v>45573</v>
      </c>
      <c r="E124" s="35">
        <v>45621</v>
      </c>
      <c r="F124" s="40"/>
      <c r="G124" s="40"/>
      <c r="H124" s="5">
        <v>16.940000000000001</v>
      </c>
      <c r="I124" s="102">
        <f>47.5/30*47</f>
        <v>74.416666666666657</v>
      </c>
      <c r="J124" s="40">
        <v>60</v>
      </c>
      <c r="K124" s="40"/>
      <c r="L124" s="6">
        <v>130</v>
      </c>
      <c r="M124" s="6">
        <v>63.5</v>
      </c>
      <c r="N124" s="59">
        <f>(L124-M124)*0.7</f>
        <v>46.55</v>
      </c>
    </row>
    <row r="125" spans="1:14">
      <c r="A125" s="44" t="s">
        <v>406</v>
      </c>
      <c r="B125" s="44"/>
      <c r="C125" s="35">
        <v>45624</v>
      </c>
      <c r="D125" s="35">
        <v>45631</v>
      </c>
      <c r="E125" s="35">
        <v>45631</v>
      </c>
      <c r="F125" s="40"/>
      <c r="G125" s="40"/>
      <c r="H125" s="5">
        <v>13.98</v>
      </c>
      <c r="I125" s="102"/>
      <c r="J125" s="40">
        <v>15</v>
      </c>
      <c r="K125" s="40"/>
      <c r="L125" s="6">
        <v>59</v>
      </c>
      <c r="M125" s="6">
        <v>38</v>
      </c>
      <c r="N125" s="59">
        <f>(L125-M125)*0.7</f>
        <v>14.7</v>
      </c>
    </row>
    <row r="126" spans="1:14">
      <c r="A126" s="44" t="s">
        <v>410</v>
      </c>
      <c r="B126" s="44"/>
      <c r="C126" s="35"/>
      <c r="D126" s="35"/>
      <c r="E126" s="35">
        <v>45613</v>
      </c>
      <c r="F126" s="40"/>
      <c r="G126" s="40"/>
      <c r="H126" s="5">
        <v>10</v>
      </c>
      <c r="I126" s="102">
        <f>-(14*14+14/30*13)</f>
        <v>-202.06666666666666</v>
      </c>
      <c r="J126" s="40">
        <v>15</v>
      </c>
      <c r="K126" s="40"/>
      <c r="L126" s="6">
        <v>30</v>
      </c>
      <c r="M126" s="6">
        <v>10</v>
      </c>
      <c r="N126" s="59">
        <f t="shared" ref="N126:N131" si="3">(L126-M126)*0.7</f>
        <v>14</v>
      </c>
    </row>
    <row r="127" spans="1:14">
      <c r="A127" s="44" t="s">
        <v>402</v>
      </c>
      <c r="B127" s="44"/>
      <c r="C127" s="35"/>
      <c r="D127" s="35">
        <v>45637</v>
      </c>
      <c r="E127" s="35">
        <v>45698</v>
      </c>
      <c r="F127" s="40"/>
      <c r="G127" s="40"/>
      <c r="H127" s="5">
        <v>13.98</v>
      </c>
      <c r="I127" s="102">
        <f>45/30*59</f>
        <v>88.5</v>
      </c>
      <c r="J127" s="40">
        <v>30</v>
      </c>
      <c r="K127" s="40"/>
      <c r="L127" s="6">
        <v>120</v>
      </c>
      <c r="M127" s="6">
        <v>45</v>
      </c>
      <c r="N127" s="59">
        <f t="shared" si="3"/>
        <v>52.5</v>
      </c>
    </row>
    <row r="128" spans="1:14">
      <c r="A128" s="44" t="s">
        <v>392</v>
      </c>
      <c r="B128" s="44"/>
      <c r="C128" s="35"/>
      <c r="D128" s="35"/>
      <c r="E128" s="35">
        <v>45694</v>
      </c>
      <c r="F128" s="40"/>
      <c r="G128" s="40"/>
      <c r="H128" s="5">
        <v>31.89</v>
      </c>
      <c r="I128" s="102" t="s">
        <v>414</v>
      </c>
      <c r="J128" s="40">
        <v>75</v>
      </c>
      <c r="K128" s="40"/>
      <c r="L128" s="6">
        <v>145</v>
      </c>
      <c r="M128" s="6">
        <v>72</v>
      </c>
      <c r="N128" s="59">
        <f t="shared" si="3"/>
        <v>51.099999999999994</v>
      </c>
    </row>
    <row r="129" spans="1:14">
      <c r="A129" s="44" t="s">
        <v>413</v>
      </c>
      <c r="B129" s="44"/>
      <c r="C129" s="35"/>
      <c r="D129" s="35"/>
      <c r="E129" s="35">
        <v>45730</v>
      </c>
      <c r="F129" s="40"/>
      <c r="G129" s="40"/>
      <c r="H129" s="5">
        <v>15.34</v>
      </c>
      <c r="I129" s="102"/>
      <c r="J129" s="40"/>
      <c r="K129" s="40"/>
      <c r="L129" s="6">
        <v>80</v>
      </c>
      <c r="M129" s="6">
        <v>28</v>
      </c>
      <c r="N129" s="59">
        <f t="shared" si="3"/>
        <v>36.4</v>
      </c>
    </row>
    <row r="130" spans="1:14">
      <c r="A130" s="44" t="s">
        <v>418</v>
      </c>
      <c r="B130" s="44"/>
      <c r="C130" s="35"/>
      <c r="D130" s="35"/>
      <c r="E130" s="35">
        <v>45737</v>
      </c>
      <c r="F130" s="40"/>
      <c r="G130" s="40"/>
      <c r="H130" s="5">
        <v>32.17</v>
      </c>
      <c r="I130" s="102"/>
      <c r="J130" s="40">
        <v>90</v>
      </c>
      <c r="K130" s="40"/>
      <c r="L130" s="6">
        <v>150</v>
      </c>
      <c r="M130" s="6">
        <v>43</v>
      </c>
      <c r="N130" s="59">
        <f t="shared" si="3"/>
        <v>74.899999999999991</v>
      </c>
    </row>
    <row r="131" spans="1:14">
      <c r="A131" s="44" t="s">
        <v>417</v>
      </c>
      <c r="B131" s="44"/>
      <c r="C131" s="35"/>
      <c r="D131" s="35"/>
      <c r="E131" s="35">
        <v>45687</v>
      </c>
      <c r="F131" s="40"/>
      <c r="G131" s="40"/>
      <c r="H131" s="5"/>
      <c r="I131" s="102"/>
      <c r="J131" s="40">
        <v>40</v>
      </c>
      <c r="K131" s="40"/>
      <c r="L131" s="6">
        <v>59</v>
      </c>
      <c r="M131" s="6">
        <v>43</v>
      </c>
      <c r="N131" s="59">
        <f t="shared" si="3"/>
        <v>11.2</v>
      </c>
    </row>
    <row r="132" spans="1:14">
      <c r="A132" s="44" t="s">
        <v>423</v>
      </c>
      <c r="B132" s="44"/>
      <c r="C132" s="35"/>
      <c r="D132" s="35"/>
      <c r="E132" s="35">
        <v>45714</v>
      </c>
      <c r="F132" s="40"/>
      <c r="G132" s="40"/>
      <c r="H132" s="5"/>
      <c r="I132" s="102"/>
      <c r="J132" s="40"/>
      <c r="K132" s="40"/>
      <c r="L132" s="6">
        <v>50</v>
      </c>
      <c r="M132" s="6">
        <v>41</v>
      </c>
      <c r="N132" s="59">
        <f>(L132-M132)*0.7</f>
        <v>6.3</v>
      </c>
    </row>
    <row r="133" spans="1:14">
      <c r="A133" s="44" t="s">
        <v>424</v>
      </c>
      <c r="B133" s="44"/>
      <c r="C133" s="35"/>
      <c r="D133" s="35"/>
      <c r="E133" s="35">
        <v>45750</v>
      </c>
      <c r="F133" s="40"/>
      <c r="G133" s="40"/>
      <c r="H133" s="5">
        <v>15.34</v>
      </c>
      <c r="I133" s="102"/>
      <c r="J133" s="40">
        <v>30</v>
      </c>
      <c r="K133" s="40"/>
      <c r="L133" s="6">
        <v>45</v>
      </c>
      <c r="M133" s="6">
        <v>7</v>
      </c>
      <c r="N133" s="59">
        <f>(L133-M133)*0.7</f>
        <v>26.599999999999998</v>
      </c>
    </row>
    <row r="134" spans="1:14">
      <c r="A134" s="44" t="s">
        <v>425</v>
      </c>
      <c r="B134" s="44"/>
      <c r="C134" s="35"/>
      <c r="D134" s="35"/>
      <c r="E134" s="35">
        <v>45765</v>
      </c>
      <c r="F134" s="40"/>
      <c r="G134" s="40"/>
      <c r="H134" s="5">
        <v>14.54</v>
      </c>
      <c r="I134" s="102"/>
      <c r="J134" s="40"/>
      <c r="K134" s="40"/>
      <c r="L134" s="6">
        <v>220</v>
      </c>
      <c r="M134" s="6">
        <v>99</v>
      </c>
      <c r="N134" s="59">
        <f>(L134-M134)*0.7</f>
        <v>84.699999999999989</v>
      </c>
    </row>
    <row r="135" spans="1:14">
      <c r="A135" s="44" t="s">
        <v>441</v>
      </c>
      <c r="B135" s="44"/>
      <c r="C135" s="35"/>
      <c r="D135" s="35"/>
      <c r="E135" s="35">
        <v>45853</v>
      </c>
      <c r="F135" s="40"/>
      <c r="G135" s="40"/>
      <c r="H135" s="5">
        <v>12.44</v>
      </c>
      <c r="I135" s="102"/>
      <c r="J135" s="40"/>
      <c r="K135" s="40"/>
      <c r="L135" s="6">
        <v>59</v>
      </c>
      <c r="M135" s="6">
        <v>38</v>
      </c>
      <c r="N135" s="59">
        <f>(L135-M135)*0.7</f>
        <v>14.7</v>
      </c>
    </row>
    <row r="136" spans="1:14">
      <c r="A136" s="44" t="s">
        <v>408</v>
      </c>
      <c r="B136" s="44"/>
      <c r="C136" s="35"/>
      <c r="D136" s="35"/>
      <c r="E136" s="35"/>
      <c r="F136" s="40"/>
      <c r="G136" s="40"/>
      <c r="H136" s="5"/>
      <c r="I136" s="102"/>
      <c r="J136" s="40"/>
      <c r="K136" s="40"/>
      <c r="L136" s="6">
        <v>69</v>
      </c>
      <c r="M136" s="6">
        <v>38</v>
      </c>
      <c r="N136" s="59">
        <f>(L136-M136)*0.7</f>
        <v>21.7</v>
      </c>
    </row>
    <row r="137" spans="1:14">
      <c r="A137" s="76"/>
      <c r="B137" s="76"/>
      <c r="C137" s="36"/>
      <c r="D137" s="36"/>
      <c r="E137" s="36"/>
      <c r="F137" s="71"/>
      <c r="G137" s="71"/>
      <c r="H137" s="16"/>
      <c r="I137" s="109"/>
      <c r="J137" s="71"/>
      <c r="K137" s="71"/>
      <c r="L137" s="17"/>
      <c r="M137" s="18"/>
      <c r="N137" s="70"/>
    </row>
    <row r="138" spans="1:14">
      <c r="C138" s="36"/>
      <c r="D138" s="36"/>
      <c r="F138" s="28"/>
      <c r="G138" s="28"/>
      <c r="H138" s="30"/>
      <c r="I138" s="30"/>
      <c r="M138" s="62" t="s">
        <v>4</v>
      </c>
      <c r="N138" s="18">
        <f>SUM(N2:N136)</f>
        <v>4950.1299999999983</v>
      </c>
    </row>
    <row r="139" spans="1:14">
      <c r="C139" s="36"/>
      <c r="D139" s="36"/>
      <c r="F139" s="28"/>
      <c r="G139" s="28"/>
      <c r="H139" s="30"/>
      <c r="I139" s="104"/>
      <c r="M139" s="61" t="s">
        <v>251</v>
      </c>
      <c r="N139" s="6">
        <f>N138+M147+M152</f>
        <v>3753.2799999999984</v>
      </c>
    </row>
    <row r="140" spans="1:14">
      <c r="C140" s="36"/>
      <c r="D140" s="36"/>
      <c r="F140" s="28"/>
      <c r="G140" s="28"/>
      <c r="H140" s="30"/>
      <c r="I140" s="104"/>
    </row>
    <row r="142" spans="1:14">
      <c r="A142" s="28"/>
      <c r="B142" s="28"/>
      <c r="E142" s="15"/>
      <c r="F142" s="1"/>
      <c r="G142" s="1"/>
      <c r="H142" s="1"/>
      <c r="J142" s="1"/>
      <c r="K142" s="1"/>
      <c r="L142" s="1"/>
      <c r="M142" s="1"/>
      <c r="N142" s="29"/>
    </row>
    <row r="143" spans="1:14">
      <c r="L143" s="1"/>
      <c r="M143" s="1"/>
    </row>
    <row r="144" spans="1:14">
      <c r="H144" s="30"/>
      <c r="K144" t="s">
        <v>447</v>
      </c>
      <c r="L144" s="1"/>
      <c r="M144">
        <v>-58.08</v>
      </c>
    </row>
    <row r="145" spans="11:16">
      <c r="K145" t="s">
        <v>448</v>
      </c>
      <c r="L145" s="69"/>
      <c r="M145">
        <v>-50.4</v>
      </c>
      <c r="P145" s="42"/>
    </row>
    <row r="146" spans="11:16">
      <c r="K146" t="s">
        <v>449</v>
      </c>
      <c r="L146" s="1"/>
      <c r="M146" s="66">
        <v>-74.17</v>
      </c>
    </row>
    <row r="147" spans="11:16">
      <c r="K147" t="s">
        <v>450</v>
      </c>
      <c r="L147" s="1"/>
      <c r="M147" s="66">
        <v>-49</v>
      </c>
      <c r="N147" s="108"/>
      <c r="P147" s="42"/>
    </row>
    <row r="148" spans="11:16">
      <c r="K148" t="s">
        <v>451</v>
      </c>
      <c r="L148" s="1"/>
      <c r="M148" s="66">
        <v>-29</v>
      </c>
    </row>
    <row r="149" spans="11:16">
      <c r="K149" t="s">
        <v>452</v>
      </c>
      <c r="L149" s="1"/>
      <c r="M149" s="66">
        <v>-84</v>
      </c>
      <c r="N149" s="1"/>
      <c r="P149" s="42"/>
    </row>
    <row r="150" spans="11:16">
      <c r="K150" t="s">
        <v>453</v>
      </c>
      <c r="L150" s="1"/>
      <c r="M150" s="66">
        <v>-121.2</v>
      </c>
    </row>
    <row r="151" spans="11:16">
      <c r="K151" t="s">
        <v>454</v>
      </c>
      <c r="L151" s="1"/>
      <c r="M151" s="66">
        <f>-795+113</f>
        <v>-682</v>
      </c>
    </row>
    <row r="152" spans="11:16">
      <c r="M152" s="66">
        <f>SUM(M144:M151)</f>
        <v>-1147.8499999999999</v>
      </c>
    </row>
  </sheetData>
  <autoFilter ref="A1:P139">
    <sortState ref="A2:P86">
      <sortCondition ref="B1:B86"/>
    </sortState>
  </autoFilter>
  <pageMargins left="0.7" right="0.7" top="0.75" bottom="0.75" header="0.3" footer="0.3"/>
  <pageSetup paperSize="9" orientation="portrait" r:id="rId1"/>
</worksheet>
</file>

<file path=xl/worksheets/sheet101.xml><?xml version="1.0" encoding="utf-8"?>
<worksheet xmlns="http://schemas.openxmlformats.org/spreadsheetml/2006/main" xmlns:r="http://schemas.openxmlformats.org/officeDocument/2006/relationships">
  <dimension ref="A1:P168"/>
  <sheetViews>
    <sheetView topLeftCell="B131" workbookViewId="0">
      <selection activeCell="A138" sqref="A138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0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45</v>
      </c>
      <c r="M3" s="61">
        <v>25</v>
      </c>
      <c r="N3" s="6">
        <f t="shared" si="0"/>
        <v>14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27</v>
      </c>
      <c r="B9" s="2"/>
      <c r="C9" s="4">
        <v>42656</v>
      </c>
      <c r="D9" s="4"/>
      <c r="E9" s="4">
        <v>42705</v>
      </c>
      <c r="F9" s="5"/>
      <c r="G9" s="49"/>
      <c r="H9" s="5">
        <v>8.17</v>
      </c>
      <c r="I9" s="102">
        <f>M9/30*47</f>
        <v>39.166666666666671</v>
      </c>
      <c r="J9" s="5"/>
      <c r="K9" s="5"/>
      <c r="L9" s="6">
        <v>40</v>
      </c>
      <c r="M9" s="62">
        <v>25</v>
      </c>
      <c r="N9" s="18">
        <f t="shared" si="0"/>
        <v>10.5</v>
      </c>
    </row>
    <row r="10" spans="1:15">
      <c r="A10" s="2" t="s">
        <v>29</v>
      </c>
      <c r="B10" s="2"/>
      <c r="C10" s="4">
        <v>42683</v>
      </c>
      <c r="D10" s="4"/>
      <c r="E10" s="4">
        <v>42718</v>
      </c>
      <c r="F10" s="5"/>
      <c r="G10" s="49"/>
      <c r="H10" s="5">
        <v>8.9700000000000006</v>
      </c>
      <c r="I10" s="102">
        <f>M10/30*35</f>
        <v>42</v>
      </c>
      <c r="J10" s="5"/>
      <c r="K10" s="5"/>
      <c r="L10" s="6">
        <f>105</f>
        <v>105</v>
      </c>
      <c r="M10" s="62">
        <v>36</v>
      </c>
      <c r="N10" s="18">
        <f t="shared" si="0"/>
        <v>48.3</v>
      </c>
    </row>
    <row r="11" spans="1:15">
      <c r="A11" s="2" t="s">
        <v>28</v>
      </c>
      <c r="B11" s="2"/>
      <c r="C11" s="4">
        <v>42711</v>
      </c>
      <c r="D11" s="4"/>
      <c r="E11" s="4">
        <v>42734</v>
      </c>
      <c r="F11" s="5"/>
      <c r="G11" s="49"/>
      <c r="H11" s="5">
        <v>8.17</v>
      </c>
      <c r="I11" s="102">
        <f>M11/30*23</f>
        <v>19.166666666666668</v>
      </c>
      <c r="J11" s="5"/>
      <c r="K11" s="5"/>
      <c r="L11" s="6">
        <v>40</v>
      </c>
      <c r="M11" s="62">
        <v>25</v>
      </c>
      <c r="N11" s="18">
        <f t="shared" si="0"/>
        <v>10.5</v>
      </c>
    </row>
    <row r="12" spans="1:15">
      <c r="A12" s="2" t="s">
        <v>31</v>
      </c>
      <c r="B12" s="2"/>
      <c r="C12" s="4">
        <v>42735</v>
      </c>
      <c r="D12" s="4"/>
      <c r="E12" s="4">
        <v>42782</v>
      </c>
      <c r="F12" s="5">
        <v>50</v>
      </c>
      <c r="G12" s="49"/>
      <c r="H12" s="5">
        <v>20.63</v>
      </c>
      <c r="I12" s="102">
        <f>M12/30*46</f>
        <v>42.933333333333337</v>
      </c>
      <c r="J12" s="5"/>
      <c r="K12" s="5"/>
      <c r="L12" s="6">
        <v>92</v>
      </c>
      <c r="M12" s="61">
        <v>28</v>
      </c>
      <c r="N12" s="6">
        <f t="shared" si="0"/>
        <v>44.8</v>
      </c>
    </row>
    <row r="13" spans="1:15">
      <c r="A13" s="2" t="s">
        <v>32</v>
      </c>
      <c r="B13" s="2"/>
      <c r="C13" s="4">
        <v>42857</v>
      </c>
      <c r="D13" s="4"/>
      <c r="E13" s="4">
        <v>42866</v>
      </c>
      <c r="F13" s="5"/>
      <c r="G13" s="49"/>
      <c r="H13" s="5"/>
      <c r="I13" s="102">
        <f>23/30*9</f>
        <v>6.9</v>
      </c>
      <c r="J13" s="5">
        <f>60*0.7</f>
        <v>42</v>
      </c>
      <c r="K13" s="5"/>
      <c r="L13" s="6">
        <v>60</v>
      </c>
      <c r="M13" s="61">
        <v>23</v>
      </c>
      <c r="N13" s="6">
        <f t="shared" si="0"/>
        <v>25.9</v>
      </c>
    </row>
    <row r="14" spans="1:15">
      <c r="A14" s="2" t="s">
        <v>37</v>
      </c>
      <c r="B14" s="2"/>
      <c r="C14" s="4">
        <v>42891</v>
      </c>
      <c r="D14" s="4"/>
      <c r="E14" s="4">
        <v>42915</v>
      </c>
      <c r="F14" s="5"/>
      <c r="G14" s="49"/>
      <c r="H14" s="5">
        <v>6.83</v>
      </c>
      <c r="I14" s="102">
        <f>24/30*24</f>
        <v>19.200000000000003</v>
      </c>
      <c r="J14" s="5"/>
      <c r="K14" s="5"/>
      <c r="L14" s="6">
        <f>69+70</f>
        <v>139</v>
      </c>
      <c r="M14" s="61">
        <f>38+7+18</f>
        <v>63</v>
      </c>
      <c r="N14" s="6">
        <f t="shared" si="0"/>
        <v>53.199999999999996</v>
      </c>
    </row>
    <row r="15" spans="1:15">
      <c r="A15" s="2" t="s">
        <v>39</v>
      </c>
      <c r="B15" s="2"/>
      <c r="C15" s="4">
        <v>43081</v>
      </c>
      <c r="D15" s="4"/>
      <c r="E15" s="4">
        <v>43109</v>
      </c>
      <c r="F15" s="5"/>
      <c r="G15" s="49"/>
      <c r="H15" s="5">
        <v>9.83</v>
      </c>
      <c r="I15" s="102">
        <f>36/30*28</f>
        <v>33.6</v>
      </c>
      <c r="J15" s="5"/>
      <c r="K15" s="5"/>
      <c r="L15" s="6">
        <v>120</v>
      </c>
      <c r="M15" s="61">
        <v>36</v>
      </c>
      <c r="N15" s="6">
        <f t="shared" si="0"/>
        <v>58.8</v>
      </c>
    </row>
    <row r="16" spans="1:15">
      <c r="A16" s="22" t="s">
        <v>56</v>
      </c>
      <c r="B16" s="22"/>
      <c r="C16" s="4">
        <v>43361</v>
      </c>
      <c r="D16" s="4"/>
      <c r="E16" s="4">
        <v>43132</v>
      </c>
      <c r="F16" s="5"/>
      <c r="G16" s="49"/>
      <c r="H16" s="5">
        <v>14.11</v>
      </c>
      <c r="I16" s="102">
        <f>25*4+25/30*12</f>
        <v>110</v>
      </c>
      <c r="J16" s="5"/>
      <c r="K16" s="5"/>
      <c r="L16" s="6">
        <v>75</v>
      </c>
      <c r="M16" s="61">
        <v>25</v>
      </c>
      <c r="N16" s="6">
        <f t="shared" si="0"/>
        <v>35</v>
      </c>
    </row>
    <row r="17" spans="1:15">
      <c r="A17" s="2" t="s">
        <v>44</v>
      </c>
      <c r="B17" s="2"/>
      <c r="C17" s="4">
        <v>43196</v>
      </c>
      <c r="D17" s="4"/>
      <c r="E17" s="4">
        <v>43250</v>
      </c>
      <c r="F17" s="5"/>
      <c r="G17" s="49"/>
      <c r="H17" s="5">
        <v>13.78</v>
      </c>
      <c r="I17" s="102">
        <f>25*24/30+25</f>
        <v>45</v>
      </c>
      <c r="J17" s="5"/>
      <c r="K17" s="5"/>
      <c r="L17" s="6">
        <v>11</v>
      </c>
      <c r="M17" s="61">
        <v>25</v>
      </c>
      <c r="N17" s="6">
        <v>9.7999999999999989</v>
      </c>
    </row>
    <row r="18" spans="1:15">
      <c r="A18" s="22" t="s">
        <v>47</v>
      </c>
      <c r="B18" s="22"/>
      <c r="C18" s="4">
        <v>43355</v>
      </c>
      <c r="D18" s="4"/>
      <c r="E18" s="4">
        <v>43277</v>
      </c>
      <c r="F18" s="5"/>
      <c r="G18" s="49"/>
      <c r="H18" s="5">
        <v>19.98</v>
      </c>
      <c r="I18" s="102">
        <f>36*2+36/30*16</f>
        <v>91.2</v>
      </c>
      <c r="J18" s="5"/>
      <c r="K18" s="5"/>
      <c r="L18" s="6">
        <v>105</v>
      </c>
      <c r="M18" s="61">
        <v>36</v>
      </c>
      <c r="N18" s="6">
        <f t="shared" si="0"/>
        <v>48.3</v>
      </c>
    </row>
    <row r="19" spans="1:15">
      <c r="A19" s="22" t="s">
        <v>48</v>
      </c>
      <c r="B19" s="22"/>
      <c r="C19" s="4">
        <v>43367</v>
      </c>
      <c r="D19" s="4"/>
      <c r="E19" s="4">
        <v>43284</v>
      </c>
      <c r="F19" s="5"/>
      <c r="G19" s="49"/>
      <c r="H19" s="5">
        <v>9.1</v>
      </c>
      <c r="I19" s="102">
        <f>25+25/30*27</f>
        <v>47.5</v>
      </c>
      <c r="J19" s="5"/>
      <c r="K19" s="5"/>
      <c r="L19" s="6">
        <v>75</v>
      </c>
      <c r="M19" s="61">
        <v>25</v>
      </c>
      <c r="N19" s="6">
        <f t="shared" si="0"/>
        <v>35</v>
      </c>
    </row>
    <row r="20" spans="1:15">
      <c r="A20" s="2" t="s">
        <v>45</v>
      </c>
      <c r="B20" s="2"/>
      <c r="C20" s="4"/>
      <c r="D20" s="4"/>
      <c r="E20" s="4">
        <v>43286</v>
      </c>
      <c r="F20" s="5"/>
      <c r="G20" s="49"/>
      <c r="H20" s="5">
        <v>11.56</v>
      </c>
      <c r="I20" s="102"/>
      <c r="J20" s="5"/>
      <c r="K20" s="5"/>
      <c r="L20" s="6">
        <v>150</v>
      </c>
      <c r="M20" s="61">
        <v>76</v>
      </c>
      <c r="N20" s="6">
        <f t="shared" si="0"/>
        <v>51.8</v>
      </c>
      <c r="O20" s="20"/>
    </row>
    <row r="21" spans="1:15">
      <c r="A21" s="22" t="s">
        <v>49</v>
      </c>
      <c r="B21" s="22"/>
      <c r="C21" s="4">
        <v>43367</v>
      </c>
      <c r="D21" s="4"/>
      <c r="E21" s="4">
        <v>43291</v>
      </c>
      <c r="F21" s="5"/>
      <c r="G21" s="49"/>
      <c r="H21" s="5">
        <v>10.039999999999999</v>
      </c>
      <c r="I21" s="102">
        <f>50+25/30*14</f>
        <v>61.666666666666671</v>
      </c>
      <c r="J21" s="5"/>
      <c r="K21" s="5"/>
      <c r="L21" s="6">
        <v>50</v>
      </c>
      <c r="M21" s="61">
        <v>22</v>
      </c>
      <c r="N21" s="18">
        <f t="shared" si="0"/>
        <v>19.599999999999998</v>
      </c>
    </row>
    <row r="22" spans="1:15">
      <c r="A22" s="22" t="s">
        <v>51</v>
      </c>
      <c r="B22" s="22"/>
      <c r="C22" s="4">
        <v>43358</v>
      </c>
      <c r="D22" s="4"/>
      <c r="E22" s="4">
        <v>43291</v>
      </c>
      <c r="F22" s="5"/>
      <c r="G22" s="49"/>
      <c r="H22" s="5">
        <v>10.039999999999999</v>
      </c>
      <c r="I22" s="102">
        <f>50+25/30*5</f>
        <v>54.166666666666664</v>
      </c>
      <c r="J22" s="5"/>
      <c r="K22" s="5"/>
      <c r="L22" s="6">
        <v>75</v>
      </c>
      <c r="M22" s="61">
        <v>25</v>
      </c>
      <c r="N22" s="6">
        <f t="shared" si="0"/>
        <v>35</v>
      </c>
    </row>
    <row r="23" spans="1:15">
      <c r="A23" s="22" t="s">
        <v>52</v>
      </c>
      <c r="B23" s="22"/>
      <c r="C23" s="4">
        <v>43367</v>
      </c>
      <c r="D23" s="4"/>
      <c r="E23" s="4">
        <v>43308</v>
      </c>
      <c r="F23" s="5"/>
      <c r="G23" s="49"/>
      <c r="H23" s="5">
        <v>10.86</v>
      </c>
      <c r="I23" s="102">
        <f>25+25/30*27</f>
        <v>47.5</v>
      </c>
      <c r="J23" s="5"/>
      <c r="K23" s="5"/>
      <c r="L23" s="6">
        <v>75</v>
      </c>
      <c r="M23" s="61">
        <v>25</v>
      </c>
      <c r="N23" s="27">
        <f t="shared" si="0"/>
        <v>35</v>
      </c>
    </row>
    <row r="24" spans="1:15">
      <c r="A24" s="22" t="s">
        <v>50</v>
      </c>
      <c r="B24" s="22"/>
      <c r="C24" s="4">
        <v>43367</v>
      </c>
      <c r="D24" s="4"/>
      <c r="E24" s="4">
        <v>43312</v>
      </c>
      <c r="F24" s="5"/>
      <c r="G24" s="49"/>
      <c r="H24" s="5">
        <v>10.86</v>
      </c>
      <c r="I24" s="102">
        <f>25+25/30*24</f>
        <v>45</v>
      </c>
      <c r="J24" s="5"/>
      <c r="K24" s="5"/>
      <c r="L24" s="6">
        <v>70</v>
      </c>
      <c r="M24" s="61">
        <v>25</v>
      </c>
      <c r="N24" s="6">
        <f t="shared" si="0"/>
        <v>31.499999999999996</v>
      </c>
    </row>
    <row r="25" spans="1:15">
      <c r="A25" s="22" t="s">
        <v>55</v>
      </c>
      <c r="B25" s="22"/>
      <c r="C25" s="4">
        <v>43363</v>
      </c>
      <c r="D25" s="4"/>
      <c r="E25" s="4">
        <v>43440</v>
      </c>
      <c r="F25" s="5"/>
      <c r="G25" s="49"/>
      <c r="H25" s="5">
        <v>14.11</v>
      </c>
      <c r="I25" s="102">
        <f>25*2+25*16/30</f>
        <v>63.333333333333336</v>
      </c>
      <c r="J25" s="5"/>
      <c r="K25" s="5"/>
      <c r="L25" s="6">
        <v>75</v>
      </c>
      <c r="M25" s="61">
        <v>25</v>
      </c>
      <c r="N25" s="6">
        <f t="shared" si="0"/>
        <v>35</v>
      </c>
    </row>
    <row r="26" spans="1:15">
      <c r="A26" s="22" t="s">
        <v>54</v>
      </c>
      <c r="B26" s="22"/>
      <c r="C26" s="4">
        <v>43167</v>
      </c>
      <c r="D26" s="4"/>
      <c r="E26" s="4">
        <v>43455</v>
      </c>
      <c r="F26" s="5"/>
      <c r="G26" s="49"/>
      <c r="H26" s="5">
        <v>10.86</v>
      </c>
      <c r="I26" s="102">
        <f>9*25+25*13/30</f>
        <v>235.83333333333334</v>
      </c>
      <c r="J26" s="5"/>
      <c r="K26" s="5"/>
      <c r="L26" s="6">
        <v>90</v>
      </c>
      <c r="M26" s="61">
        <v>36</v>
      </c>
      <c r="N26" s="6">
        <f t="shared" si="0"/>
        <v>37.799999999999997</v>
      </c>
    </row>
    <row r="27" spans="1:15">
      <c r="A27" s="22" t="s">
        <v>57</v>
      </c>
      <c r="B27" s="55"/>
      <c r="C27" s="31">
        <v>43478</v>
      </c>
      <c r="D27" s="31"/>
      <c r="E27" s="4">
        <v>43536</v>
      </c>
      <c r="F27" s="5"/>
      <c r="G27" s="49"/>
      <c r="H27" s="5">
        <v>10.86</v>
      </c>
      <c r="I27" s="102">
        <v>25</v>
      </c>
      <c r="J27" s="5"/>
      <c r="K27" s="5"/>
      <c r="L27" s="6">
        <v>70</v>
      </c>
      <c r="M27" s="61">
        <v>25</v>
      </c>
      <c r="N27" s="6">
        <f t="shared" si="0"/>
        <v>31.499999999999996</v>
      </c>
    </row>
    <row r="28" spans="1:15">
      <c r="A28" s="22" t="s">
        <v>59</v>
      </c>
      <c r="B28" s="22"/>
      <c r="C28" s="4">
        <v>43528</v>
      </c>
      <c r="D28" s="4"/>
      <c r="E28" s="4">
        <v>43538</v>
      </c>
      <c r="F28" s="5"/>
      <c r="G28" s="49"/>
      <c r="H28" s="5">
        <v>14.92</v>
      </c>
      <c r="I28" s="102">
        <f>77/30*10</f>
        <v>25.666666666666668</v>
      </c>
      <c r="J28" s="5"/>
      <c r="K28" s="5"/>
      <c r="L28" s="6">
        <v>169</v>
      </c>
      <c r="M28" s="61">
        <f>64+11+2</f>
        <v>77</v>
      </c>
      <c r="N28" s="6">
        <f t="shared" si="0"/>
        <v>64.399999999999991</v>
      </c>
    </row>
    <row r="29" spans="1:15">
      <c r="A29" s="22" t="s">
        <v>58</v>
      </c>
      <c r="B29" s="22"/>
      <c r="C29" s="4">
        <v>43534</v>
      </c>
      <c r="D29" s="4"/>
      <c r="E29" s="4">
        <v>43542</v>
      </c>
      <c r="F29" s="5"/>
      <c r="G29" s="49"/>
      <c r="H29" s="5">
        <f>10.86*2</f>
        <v>21.72</v>
      </c>
      <c r="I29" s="102">
        <v>0</v>
      </c>
      <c r="J29" s="5"/>
      <c r="K29" s="5"/>
      <c r="L29" s="6">
        <v>30</v>
      </c>
      <c r="M29" s="61">
        <v>22</v>
      </c>
      <c r="N29" s="6">
        <v>18.899999999999999</v>
      </c>
    </row>
    <row r="30" spans="1:15">
      <c r="A30" s="22" t="s">
        <v>61</v>
      </c>
      <c r="B30" s="22"/>
      <c r="C30" s="4">
        <v>43482</v>
      </c>
      <c r="D30" s="4"/>
      <c r="E30" s="4">
        <v>43542</v>
      </c>
      <c r="F30" s="5"/>
      <c r="G30" s="49"/>
      <c r="H30" s="5">
        <v>11.1</v>
      </c>
      <c r="I30" s="102">
        <f>25*2</f>
        <v>50</v>
      </c>
      <c r="J30" s="5"/>
      <c r="K30" s="5"/>
      <c r="L30" s="6">
        <v>70</v>
      </c>
      <c r="M30" s="61">
        <v>26</v>
      </c>
      <c r="N30" s="6">
        <f t="shared" si="0"/>
        <v>30.799999999999997</v>
      </c>
    </row>
    <row r="31" spans="1:15">
      <c r="A31" s="22" t="s">
        <v>67</v>
      </c>
      <c r="B31" s="22"/>
      <c r="C31" s="4">
        <v>43600</v>
      </c>
      <c r="D31" s="4"/>
      <c r="E31" s="4">
        <v>43629</v>
      </c>
      <c r="F31" s="5"/>
      <c r="G31" s="49"/>
      <c r="H31" s="5">
        <f>10.86*2</f>
        <v>21.72</v>
      </c>
      <c r="I31" s="102">
        <f>22/30*58</f>
        <v>42.533333333333331</v>
      </c>
      <c r="J31" s="5">
        <v>50</v>
      </c>
      <c r="K31" s="5">
        <f>H31+I31+J31</f>
        <v>114.25333333333333</v>
      </c>
      <c r="L31" s="6">
        <v>60</v>
      </c>
      <c r="M31" s="61">
        <v>25</v>
      </c>
      <c r="N31" s="6">
        <v>0</v>
      </c>
    </row>
    <row r="32" spans="1:15">
      <c r="A32" s="22" t="s">
        <v>66</v>
      </c>
      <c r="B32" s="22"/>
      <c r="C32" s="4">
        <v>43600</v>
      </c>
      <c r="D32" s="4"/>
      <c r="E32" s="4">
        <v>43629</v>
      </c>
      <c r="F32" s="5"/>
      <c r="G32" s="49"/>
      <c r="H32" s="5">
        <f>10.86</f>
        <v>10.86</v>
      </c>
      <c r="I32" s="102">
        <f>39/30*58</f>
        <v>75.400000000000006</v>
      </c>
      <c r="J32" s="5"/>
      <c r="K32" s="5">
        <f>H32+I32</f>
        <v>86.26</v>
      </c>
      <c r="L32" s="6">
        <v>110</v>
      </c>
      <c r="M32" s="61">
        <f>25+11+3</f>
        <v>39</v>
      </c>
      <c r="N32" s="6">
        <v>0</v>
      </c>
      <c r="O32" t="s">
        <v>73</v>
      </c>
    </row>
    <row r="33" spans="1:16">
      <c r="A33" s="22" t="s">
        <v>64</v>
      </c>
      <c r="B33" s="22"/>
      <c r="C33" s="4">
        <v>43627</v>
      </c>
      <c r="D33" s="4"/>
      <c r="E33" s="4">
        <v>43629</v>
      </c>
      <c r="F33" s="5"/>
      <c r="G33" s="49"/>
      <c r="H33" s="5">
        <v>10.86</v>
      </c>
      <c r="I33" s="102">
        <f>25/30*2</f>
        <v>1.6666666666666667</v>
      </c>
      <c r="J33" s="5"/>
      <c r="K33" s="5">
        <f>H33+I33</f>
        <v>12.526666666666666</v>
      </c>
      <c r="L33" s="6">
        <v>200</v>
      </c>
      <c r="M33" s="61">
        <v>11</v>
      </c>
      <c r="N33" s="5">
        <f t="shared" ref="N33:N44" si="1">(L33-M33)*0.7</f>
        <v>132.29999999999998</v>
      </c>
    </row>
    <row r="34" spans="1:16">
      <c r="A34" s="22" t="s">
        <v>65</v>
      </c>
      <c r="B34" s="22"/>
      <c r="C34" s="4">
        <v>43622</v>
      </c>
      <c r="D34" s="4"/>
      <c r="E34" s="4">
        <v>43650</v>
      </c>
      <c r="F34" s="5"/>
      <c r="G34" s="49"/>
      <c r="H34" s="5">
        <v>10.86</v>
      </c>
      <c r="I34" s="102"/>
      <c r="J34" s="5"/>
      <c r="K34" s="5"/>
      <c r="L34" s="6">
        <v>120</v>
      </c>
      <c r="M34" s="61">
        <v>60</v>
      </c>
      <c r="N34" s="6">
        <f t="shared" si="1"/>
        <v>42</v>
      </c>
    </row>
    <row r="35" spans="1:16">
      <c r="A35" s="22" t="s">
        <v>71</v>
      </c>
      <c r="B35" s="22"/>
      <c r="C35" s="4">
        <v>43635</v>
      </c>
      <c r="D35" s="4"/>
      <c r="E35" s="4">
        <v>43662</v>
      </c>
      <c r="F35" s="5"/>
      <c r="G35" s="49"/>
      <c r="H35" s="5">
        <f>10.86*2</f>
        <v>21.72</v>
      </c>
      <c r="I35" s="102"/>
      <c r="J35" s="5"/>
      <c r="K35" s="5"/>
      <c r="L35" s="6">
        <v>70</v>
      </c>
      <c r="M35" s="61">
        <v>26</v>
      </c>
      <c r="N35" s="6">
        <f t="shared" si="1"/>
        <v>30.799999999999997</v>
      </c>
      <c r="O35" t="s">
        <v>72</v>
      </c>
    </row>
    <row r="36" spans="1:16">
      <c r="A36" s="2" t="s">
        <v>75</v>
      </c>
      <c r="B36" s="2"/>
      <c r="C36" s="4">
        <v>43656</v>
      </c>
      <c r="D36" s="4"/>
      <c r="E36" s="4">
        <v>43711</v>
      </c>
      <c r="F36" s="5"/>
      <c r="G36" s="49"/>
      <c r="H36" s="5">
        <v>10.86</v>
      </c>
      <c r="I36" s="102">
        <f>36/30*48</f>
        <v>57.599999999999994</v>
      </c>
      <c r="J36" s="5"/>
      <c r="K36" s="5"/>
      <c r="L36" s="6">
        <v>145</v>
      </c>
      <c r="M36" s="61">
        <f>36+18</f>
        <v>54</v>
      </c>
      <c r="N36" s="6">
        <f t="shared" si="1"/>
        <v>63.699999999999996</v>
      </c>
    </row>
    <row r="37" spans="1:16">
      <c r="A37" s="2" t="s">
        <v>76</v>
      </c>
      <c r="B37" s="2"/>
      <c r="C37" s="4">
        <v>43677</v>
      </c>
      <c r="D37" s="4"/>
      <c r="E37" s="4">
        <v>43713</v>
      </c>
      <c r="F37" s="5"/>
      <c r="G37" s="49"/>
      <c r="H37" s="5">
        <v>24.06</v>
      </c>
      <c r="I37" s="102">
        <f>80/30*35</f>
        <v>93.333333333333329</v>
      </c>
      <c r="J37" s="5">
        <v>40</v>
      </c>
      <c r="K37" s="5"/>
      <c r="L37" s="6">
        <v>149</v>
      </c>
      <c r="M37" s="61">
        <v>80</v>
      </c>
      <c r="N37" s="6">
        <f t="shared" si="1"/>
        <v>48.3</v>
      </c>
      <c r="O37" t="s">
        <v>79</v>
      </c>
    </row>
    <row r="38" spans="1:16">
      <c r="A38" s="10" t="s">
        <v>81</v>
      </c>
      <c r="B38" s="10"/>
      <c r="C38" s="11">
        <v>45444</v>
      </c>
      <c r="D38" s="11"/>
      <c r="E38" s="11">
        <v>45408</v>
      </c>
      <c r="F38" s="12"/>
      <c r="G38" s="12"/>
      <c r="H38" s="12"/>
      <c r="I38" s="106">
        <f>43/30*34</f>
        <v>48.733333333333334</v>
      </c>
      <c r="J38" s="12"/>
      <c r="K38" s="12"/>
      <c r="L38" s="12">
        <v>129</v>
      </c>
      <c r="M38" s="107">
        <v>61</v>
      </c>
      <c r="N38" s="12">
        <f t="shared" si="1"/>
        <v>47.599999999999994</v>
      </c>
    </row>
    <row r="39" spans="1:16">
      <c r="A39" s="22" t="s">
        <v>87</v>
      </c>
      <c r="B39" s="22"/>
      <c r="C39" s="35">
        <v>43878</v>
      </c>
      <c r="D39" s="35"/>
      <c r="E39" s="35">
        <v>43892</v>
      </c>
      <c r="F39" s="5"/>
      <c r="G39" s="49"/>
      <c r="H39" s="5">
        <v>12.19</v>
      </c>
      <c r="I39" s="102">
        <v>5.5</v>
      </c>
      <c r="J39" s="5"/>
      <c r="K39" s="5"/>
      <c r="L39" s="6">
        <v>25</v>
      </c>
      <c r="M39" s="61">
        <v>11</v>
      </c>
      <c r="N39" s="6">
        <f t="shared" si="1"/>
        <v>9.7999999999999989</v>
      </c>
    </row>
    <row r="40" spans="1:16">
      <c r="A40" s="22" t="s">
        <v>89</v>
      </c>
      <c r="B40" s="22"/>
      <c r="C40" s="35">
        <v>43908</v>
      </c>
      <c r="D40" s="35"/>
      <c r="E40" s="35">
        <v>43893</v>
      </c>
      <c r="F40" s="5"/>
      <c r="G40" s="49"/>
      <c r="H40" s="5">
        <v>9.6</v>
      </c>
      <c r="I40" s="102">
        <v>5.5</v>
      </c>
      <c r="J40" s="5"/>
      <c r="K40" s="5"/>
      <c r="L40" s="6">
        <v>25</v>
      </c>
      <c r="M40" s="61">
        <v>11</v>
      </c>
      <c r="N40" s="6">
        <f t="shared" si="1"/>
        <v>9.7999999999999989</v>
      </c>
    </row>
    <row r="41" spans="1:16">
      <c r="A41" s="22" t="s">
        <v>85</v>
      </c>
      <c r="B41" s="22"/>
      <c r="C41" s="35">
        <v>43881</v>
      </c>
      <c r="D41" s="35"/>
      <c r="E41" s="35">
        <v>43895</v>
      </c>
      <c r="F41" s="5"/>
      <c r="G41" s="49"/>
      <c r="H41" s="5">
        <v>9.14</v>
      </c>
      <c r="I41" s="102">
        <f>11/30*15</f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39" t="s">
        <v>82</v>
      </c>
      <c r="B42" s="28"/>
      <c r="C42" s="36">
        <v>40235</v>
      </c>
      <c r="D42" s="36"/>
      <c r="E42" s="36">
        <v>43901</v>
      </c>
      <c r="F42" s="5"/>
      <c r="G42" s="34"/>
      <c r="H42" s="37">
        <v>9.6</v>
      </c>
      <c r="I42" s="102">
        <f>11/2</f>
        <v>5.5</v>
      </c>
      <c r="J42" s="5"/>
      <c r="K42" s="5"/>
      <c r="L42" s="17">
        <v>25</v>
      </c>
      <c r="M42" s="63">
        <v>11</v>
      </c>
      <c r="N42" s="26">
        <f t="shared" si="1"/>
        <v>9.7999999999999989</v>
      </c>
    </row>
    <row r="43" spans="1:16">
      <c r="A43" s="22" t="s">
        <v>80</v>
      </c>
      <c r="B43" s="22"/>
      <c r="C43" s="35">
        <v>43873</v>
      </c>
      <c r="D43" s="35"/>
      <c r="E43" s="35">
        <v>43910</v>
      </c>
      <c r="F43" s="5"/>
      <c r="G43" s="49"/>
      <c r="H43" s="5">
        <v>21.84</v>
      </c>
      <c r="I43" s="102">
        <f>56/30*38</f>
        <v>70.933333333333337</v>
      </c>
      <c r="J43" s="5"/>
      <c r="K43" s="5"/>
      <c r="L43" s="6">
        <v>80</v>
      </c>
      <c r="M43" s="61">
        <v>47</v>
      </c>
      <c r="N43" s="6">
        <f t="shared" si="1"/>
        <v>23.099999999999998</v>
      </c>
    </row>
    <row r="44" spans="1:16">
      <c r="A44" s="22" t="s">
        <v>88</v>
      </c>
      <c r="B44" s="22"/>
      <c r="C44" s="35">
        <v>43855</v>
      </c>
      <c r="D44" s="35"/>
      <c r="E44" s="35">
        <v>43941</v>
      </c>
      <c r="F44" s="5"/>
      <c r="G44" s="49"/>
      <c r="H44" s="5">
        <v>13.93</v>
      </c>
      <c r="I44" s="102">
        <f>56/30*85</f>
        <v>158.66666666666666</v>
      </c>
      <c r="J44" s="5"/>
      <c r="K44" s="5"/>
      <c r="L44" s="6">
        <v>110</v>
      </c>
      <c r="M44" s="61">
        <v>56</v>
      </c>
      <c r="N44" s="6">
        <f t="shared" si="1"/>
        <v>37.799999999999997</v>
      </c>
    </row>
    <row r="45" spans="1:16">
      <c r="A45" s="22" t="s">
        <v>90</v>
      </c>
      <c r="B45" s="22"/>
      <c r="C45" s="35" t="s">
        <v>96</v>
      </c>
      <c r="D45" s="35"/>
      <c r="E45" s="35">
        <v>44015</v>
      </c>
      <c r="F45" s="5" t="s">
        <v>160</v>
      </c>
      <c r="G45" s="49">
        <v>12.5</v>
      </c>
      <c r="H45" s="5">
        <v>11.29</v>
      </c>
      <c r="I45" s="102">
        <f>100</f>
        <v>100</v>
      </c>
      <c r="J45" s="5"/>
      <c r="K45" s="5"/>
      <c r="L45" s="6">
        <v>105</v>
      </c>
      <c r="M45" s="61">
        <f>25+11+22</f>
        <v>58</v>
      </c>
      <c r="N45" s="6">
        <f>12.5+(92.5-M45)*0.7</f>
        <v>36.65</v>
      </c>
      <c r="P45" s="41"/>
    </row>
    <row r="46" spans="1:16">
      <c r="A46" s="22" t="s">
        <v>97</v>
      </c>
      <c r="B46" s="22"/>
      <c r="C46" s="35">
        <v>43990</v>
      </c>
      <c r="D46" s="35"/>
      <c r="E46" s="35">
        <v>44036</v>
      </c>
      <c r="F46" s="5"/>
      <c r="G46" s="49"/>
      <c r="H46" s="5">
        <v>8.75</v>
      </c>
      <c r="I46" s="102">
        <f>56/30*46</f>
        <v>85.866666666666674</v>
      </c>
      <c r="J46" s="5"/>
      <c r="K46" s="5"/>
      <c r="L46" s="6">
        <v>110</v>
      </c>
      <c r="M46" s="61">
        <f>45+11</f>
        <v>56</v>
      </c>
      <c r="N46" s="6">
        <f>(L46-M46)*0.7</f>
        <v>37.799999999999997</v>
      </c>
    </row>
    <row r="47" spans="1:16">
      <c r="A47" s="22" t="s">
        <v>95</v>
      </c>
      <c r="B47" s="22"/>
      <c r="C47" s="35">
        <v>44028</v>
      </c>
      <c r="D47" s="35"/>
      <c r="E47" s="35">
        <v>44040</v>
      </c>
      <c r="F47" s="5"/>
      <c r="G47" s="49"/>
      <c r="H47" s="5">
        <v>8.75</v>
      </c>
      <c r="I47" s="102">
        <f>41/30*12</f>
        <v>16.399999999999999</v>
      </c>
      <c r="J47" s="5"/>
      <c r="K47" s="5"/>
      <c r="L47" s="6">
        <v>60</v>
      </c>
      <c r="M47" s="61">
        <v>41</v>
      </c>
      <c r="N47" s="6">
        <f>(L47-M47)*0.7</f>
        <v>13.299999999999999</v>
      </c>
    </row>
    <row r="48" spans="1:16">
      <c r="A48" s="22" t="s">
        <v>94</v>
      </c>
      <c r="B48" s="22"/>
      <c r="C48" s="35">
        <v>44011</v>
      </c>
      <c r="D48" s="35"/>
      <c r="E48" s="35">
        <v>44084</v>
      </c>
      <c r="F48" s="5"/>
      <c r="G48" s="49"/>
      <c r="H48" s="5">
        <v>11.29</v>
      </c>
      <c r="I48" s="102">
        <f>25/30*71</f>
        <v>59.166666666666671</v>
      </c>
      <c r="J48" s="5"/>
      <c r="K48" s="5"/>
      <c r="L48" s="6">
        <v>40</v>
      </c>
      <c r="M48" s="61">
        <v>25</v>
      </c>
      <c r="N48" s="6">
        <f>(L48-M48)*0.7</f>
        <v>10.5</v>
      </c>
    </row>
    <row r="49" spans="1:16">
      <c r="A49" s="2" t="s">
        <v>99</v>
      </c>
      <c r="B49" s="2"/>
      <c r="C49" s="35">
        <v>44084</v>
      </c>
      <c r="D49" s="35"/>
      <c r="E49" s="35">
        <v>44105</v>
      </c>
      <c r="F49" s="5" t="s">
        <v>160</v>
      </c>
      <c r="G49" s="49">
        <v>5</v>
      </c>
      <c r="H49" s="5">
        <v>12.24</v>
      </c>
      <c r="I49" s="102">
        <f>25/30*20</f>
        <v>16.666666666666668</v>
      </c>
      <c r="J49" s="5"/>
      <c r="K49" s="5"/>
      <c r="L49" s="43">
        <v>40</v>
      </c>
      <c r="M49" s="61">
        <v>22</v>
      </c>
      <c r="N49" s="6">
        <f>5+13*0.7</f>
        <v>14.1</v>
      </c>
      <c r="P49" s="41"/>
    </row>
    <row r="50" spans="1:16">
      <c r="A50" s="2" t="s">
        <v>102</v>
      </c>
      <c r="B50" s="2"/>
      <c r="C50" s="4" t="s">
        <v>103</v>
      </c>
      <c r="D50" s="4"/>
      <c r="E50" s="4">
        <v>44110</v>
      </c>
      <c r="F50" s="5" t="s">
        <v>160</v>
      </c>
      <c r="G50" s="49">
        <v>10</v>
      </c>
      <c r="H50" s="5">
        <v>36.65</v>
      </c>
      <c r="I50" s="102">
        <f>115/30*26</f>
        <v>99.666666666666671</v>
      </c>
      <c r="J50" s="5"/>
      <c r="K50" s="5"/>
      <c r="L50" s="6">
        <v>180</v>
      </c>
      <c r="M50" s="61">
        <v>115</v>
      </c>
      <c r="N50" s="6">
        <f>10+55*0.7</f>
        <v>48.5</v>
      </c>
      <c r="P50" s="41"/>
    </row>
    <row r="51" spans="1:16">
      <c r="A51" s="2" t="s">
        <v>94</v>
      </c>
      <c r="B51" s="2"/>
      <c r="C51" s="35">
        <v>44124</v>
      </c>
      <c r="D51" s="35"/>
      <c r="E51" s="35">
        <v>44124</v>
      </c>
      <c r="F51" s="5"/>
      <c r="G51" s="49"/>
      <c r="H51" s="5">
        <v>7.25</v>
      </c>
      <c r="I51" s="102">
        <v>0</v>
      </c>
      <c r="J51" s="5"/>
      <c r="K51" s="5"/>
      <c r="L51" s="6">
        <v>25</v>
      </c>
      <c r="M51" s="61">
        <v>11</v>
      </c>
      <c r="N51" s="6">
        <f>(L51-M51)*0.7</f>
        <v>9.7999999999999989</v>
      </c>
    </row>
    <row r="52" spans="1:16">
      <c r="A52" s="2" t="s">
        <v>100</v>
      </c>
      <c r="B52" s="2"/>
      <c r="C52" s="4">
        <v>44018</v>
      </c>
      <c r="D52" s="4"/>
      <c r="E52" s="4">
        <v>44124</v>
      </c>
      <c r="F52" s="40"/>
      <c r="G52" s="2"/>
      <c r="H52" s="5">
        <v>9.5</v>
      </c>
      <c r="I52" s="102">
        <f>25/30*104</f>
        <v>86.666666666666671</v>
      </c>
      <c r="J52" s="5"/>
      <c r="K52" s="5"/>
      <c r="L52" s="6">
        <v>70</v>
      </c>
      <c r="M52" s="61">
        <v>25</v>
      </c>
      <c r="N52" s="6">
        <f>(L52-M52)*0.7</f>
        <v>31.499999999999996</v>
      </c>
    </row>
    <row r="53" spans="1:16">
      <c r="A53" s="2" t="s">
        <v>101</v>
      </c>
      <c r="B53" s="2"/>
      <c r="C53" s="4">
        <v>44070</v>
      </c>
      <c r="D53" s="4"/>
      <c r="E53" s="4">
        <v>44131</v>
      </c>
      <c r="F53" s="40"/>
      <c r="G53" s="2"/>
      <c r="H53" s="5">
        <v>13.93</v>
      </c>
      <c r="I53" s="102">
        <f>71/30*60</f>
        <v>142</v>
      </c>
      <c r="J53" s="5"/>
      <c r="K53" s="5"/>
      <c r="L53" s="6">
        <v>120</v>
      </c>
      <c r="M53" s="61">
        <f>60+11</f>
        <v>71</v>
      </c>
      <c r="N53" s="6">
        <f>(L53-M53)*0.7</f>
        <v>34.299999999999997</v>
      </c>
    </row>
    <row r="54" spans="1:16">
      <c r="A54" s="22" t="s">
        <v>104</v>
      </c>
      <c r="B54" s="22"/>
      <c r="C54" s="4">
        <v>44159</v>
      </c>
      <c r="D54" s="4"/>
      <c r="E54" s="4">
        <v>44187</v>
      </c>
      <c r="F54" s="40"/>
      <c r="G54" s="2"/>
      <c r="H54" s="5">
        <v>13.93</v>
      </c>
      <c r="I54" s="102">
        <f>36/30*28</f>
        <v>33.6</v>
      </c>
      <c r="J54" s="5"/>
      <c r="K54" s="5"/>
      <c r="L54" s="6">
        <v>110</v>
      </c>
      <c r="M54" s="61">
        <f>25+11</f>
        <v>36</v>
      </c>
      <c r="N54" s="6">
        <f>(L54-M54)*0.7</f>
        <v>51.8</v>
      </c>
    </row>
    <row r="55" spans="1:16">
      <c r="A55" s="22" t="s">
        <v>120</v>
      </c>
      <c r="B55" s="22"/>
      <c r="C55" s="4">
        <v>44169</v>
      </c>
      <c r="D55" s="4"/>
      <c r="E55" s="4">
        <v>44208</v>
      </c>
      <c r="F55" s="5" t="s">
        <v>160</v>
      </c>
      <c r="G55" s="49">
        <v>10</v>
      </c>
      <c r="H55" s="5"/>
      <c r="I55" s="102">
        <f>41/30*38</f>
        <v>51.933333333333337</v>
      </c>
      <c r="J55" s="5"/>
      <c r="K55" s="5"/>
      <c r="L55" s="6">
        <v>70</v>
      </c>
      <c r="M55" s="61">
        <v>45</v>
      </c>
      <c r="N55" s="5">
        <f>10+(60-45)*0.7</f>
        <v>20.5</v>
      </c>
      <c r="O55" s="1" t="s">
        <v>145</v>
      </c>
    </row>
    <row r="56" spans="1:16">
      <c r="A56" s="22" t="s">
        <v>108</v>
      </c>
      <c r="B56" s="22"/>
      <c r="C56" s="4">
        <v>44185</v>
      </c>
      <c r="D56" s="4"/>
      <c r="E56" s="4">
        <v>44242</v>
      </c>
      <c r="F56" s="5" t="s">
        <v>160</v>
      </c>
      <c r="G56" s="49">
        <v>20</v>
      </c>
      <c r="H56" s="5">
        <v>26.48</v>
      </c>
      <c r="I56" s="102">
        <f>50/30*55</f>
        <v>91.666666666666671</v>
      </c>
      <c r="J56" s="5">
        <v>160</v>
      </c>
      <c r="K56" s="5"/>
      <c r="L56" s="6">
        <v>130</v>
      </c>
      <c r="M56" s="61">
        <v>34</v>
      </c>
      <c r="N56" s="5">
        <f>(20+(110-34)*0.7)</f>
        <v>73.199999999999989</v>
      </c>
      <c r="O56" s="1" t="s">
        <v>145</v>
      </c>
    </row>
    <row r="57" spans="1:16">
      <c r="A57" s="22" t="s">
        <v>109</v>
      </c>
      <c r="B57" s="22"/>
      <c r="C57" s="4">
        <v>44209</v>
      </c>
      <c r="D57" s="4"/>
      <c r="E57" s="4">
        <v>44250</v>
      </c>
      <c r="F57" s="5" t="s">
        <v>160</v>
      </c>
      <c r="G57" s="49">
        <v>22.5</v>
      </c>
      <c r="H57" s="5">
        <v>22.83</v>
      </c>
      <c r="I57" s="102">
        <f>100/30*40</f>
        <v>133.33333333333334</v>
      </c>
      <c r="J57" s="5">
        <v>125</v>
      </c>
      <c r="K57" s="5"/>
      <c r="L57" s="6">
        <v>210</v>
      </c>
      <c r="M57" s="61">
        <v>100</v>
      </c>
      <c r="N57" s="6">
        <f>(22.5+87.5*0.7)</f>
        <v>83.75</v>
      </c>
    </row>
    <row r="58" spans="1:16">
      <c r="A58" s="2" t="s">
        <v>113</v>
      </c>
      <c r="B58" s="2"/>
      <c r="C58" s="4">
        <v>44245</v>
      </c>
      <c r="D58" s="4"/>
      <c r="E58" s="4">
        <v>44271</v>
      </c>
      <c r="F58" s="5" t="s">
        <v>160</v>
      </c>
      <c r="G58" s="49">
        <v>15</v>
      </c>
      <c r="H58" s="5">
        <v>26.76</v>
      </c>
      <c r="I58" s="102">
        <f>67/30*28</f>
        <v>62.533333333333331</v>
      </c>
      <c r="J58" s="5"/>
      <c r="K58" s="5"/>
      <c r="L58" s="6">
        <v>140</v>
      </c>
      <c r="M58" s="61">
        <v>67</v>
      </c>
      <c r="N58" s="6">
        <f>(15+0.7*58)</f>
        <v>55.599999999999994</v>
      </c>
    </row>
    <row r="59" spans="1:16">
      <c r="A59" s="2" t="s">
        <v>112</v>
      </c>
      <c r="B59" s="2"/>
      <c r="C59" s="4">
        <v>44270</v>
      </c>
      <c r="D59" s="4"/>
      <c r="E59" s="4">
        <v>44286</v>
      </c>
      <c r="F59" s="5" t="s">
        <v>160</v>
      </c>
      <c r="G59" s="49">
        <v>17.5</v>
      </c>
      <c r="H59" s="5">
        <v>31.96</v>
      </c>
      <c r="I59" s="102">
        <f>55/30*16</f>
        <v>29.333333333333332</v>
      </c>
      <c r="J59" s="5">
        <v>75</v>
      </c>
      <c r="K59" s="5"/>
      <c r="L59" s="6">
        <v>100</v>
      </c>
      <c r="M59" s="61">
        <v>55</v>
      </c>
      <c r="N59" s="6">
        <f>(17.5+27.5*0.7)</f>
        <v>36.75</v>
      </c>
    </row>
    <row r="60" spans="1:16">
      <c r="A60" s="22" t="s">
        <v>121</v>
      </c>
      <c r="B60" s="22"/>
      <c r="C60" s="4">
        <v>44316</v>
      </c>
      <c r="D60" s="4"/>
      <c r="E60" s="4">
        <v>44354</v>
      </c>
      <c r="F60" s="40"/>
      <c r="G60" s="2"/>
      <c r="H60" s="5">
        <v>15.15</v>
      </c>
      <c r="I60" s="102">
        <f>36/30*37</f>
        <v>44.4</v>
      </c>
      <c r="J60" s="5"/>
      <c r="K60" s="5"/>
      <c r="L60" s="6">
        <v>110</v>
      </c>
      <c r="M60" s="61">
        <v>36</v>
      </c>
      <c r="N60" s="5">
        <f>(L60-M60)*0.7</f>
        <v>51.8</v>
      </c>
      <c r="O60" s="1" t="s">
        <v>145</v>
      </c>
    </row>
    <row r="61" spans="1:16">
      <c r="A61" s="22" t="s">
        <v>126</v>
      </c>
      <c r="B61" s="22"/>
      <c r="C61" s="4">
        <v>44336</v>
      </c>
      <c r="D61" s="4"/>
      <c r="E61" s="4">
        <v>44370</v>
      </c>
      <c r="F61" s="5" t="s">
        <v>161</v>
      </c>
      <c r="G61" s="49">
        <v>17.5</v>
      </c>
      <c r="H61" s="5">
        <v>35.78</v>
      </c>
      <c r="I61" s="102">
        <f>58/30*33</f>
        <v>63.8</v>
      </c>
      <c r="J61" s="5">
        <v>50</v>
      </c>
      <c r="K61" s="5"/>
      <c r="L61" s="6">
        <v>150</v>
      </c>
      <c r="M61" s="61">
        <v>58</v>
      </c>
      <c r="N61" s="6">
        <f>(17.5+74.5*0.7)</f>
        <v>69.650000000000006</v>
      </c>
    </row>
    <row r="62" spans="1:16">
      <c r="A62" s="44" t="s">
        <v>125</v>
      </c>
      <c r="B62" s="44"/>
      <c r="C62" s="4">
        <v>44342</v>
      </c>
      <c r="D62" s="4"/>
      <c r="E62" s="4">
        <v>44386</v>
      </c>
      <c r="F62" s="5" t="s">
        <v>160</v>
      </c>
      <c r="G62" s="49">
        <v>12.5</v>
      </c>
      <c r="H62" s="5">
        <v>15.46</v>
      </c>
      <c r="I62" s="102">
        <f>36/30*43</f>
        <v>51.6</v>
      </c>
      <c r="J62" s="5">
        <f>50+45</f>
        <v>95</v>
      </c>
      <c r="K62" s="5"/>
      <c r="L62" s="6">
        <v>80</v>
      </c>
      <c r="M62" s="61">
        <v>33</v>
      </c>
      <c r="N62" s="6">
        <f>12.5+(L62-M62-12.5)*0.7</f>
        <v>36.65</v>
      </c>
    </row>
    <row r="63" spans="1:16">
      <c r="A63" s="44" t="s">
        <v>129</v>
      </c>
      <c r="B63" s="44"/>
      <c r="C63" s="4">
        <v>44348</v>
      </c>
      <c r="D63" s="4"/>
      <c r="E63" s="4">
        <v>44389</v>
      </c>
      <c r="F63" s="5" t="s">
        <v>160</v>
      </c>
      <c r="G63" s="49">
        <v>12.5</v>
      </c>
      <c r="H63" s="5">
        <v>26.22</v>
      </c>
      <c r="I63" s="102">
        <f>71/30*42</f>
        <v>99.4</v>
      </c>
      <c r="J63" s="5">
        <f>50+45</f>
        <v>95</v>
      </c>
      <c r="K63" s="5"/>
      <c r="L63" s="6">
        <v>140</v>
      </c>
      <c r="M63" s="61">
        <v>71</v>
      </c>
      <c r="N63" s="6">
        <f>(12.5+(127.5-71)*0.7)</f>
        <v>52.05</v>
      </c>
    </row>
    <row r="64" spans="1:16">
      <c r="A64" s="44" t="s">
        <v>132</v>
      </c>
      <c r="B64" s="44"/>
      <c r="C64" s="4">
        <v>44407</v>
      </c>
      <c r="D64" s="4"/>
      <c r="E64" s="4">
        <v>44461</v>
      </c>
      <c r="F64" s="40"/>
      <c r="G64" s="2"/>
      <c r="H64" s="5">
        <v>9.8800000000000008</v>
      </c>
      <c r="I64" s="102">
        <f>25/30*52</f>
        <v>43.333333333333336</v>
      </c>
      <c r="J64" s="5"/>
      <c r="K64" s="5"/>
      <c r="L64" s="6">
        <v>40</v>
      </c>
      <c r="M64" s="61">
        <v>25</v>
      </c>
      <c r="N64" s="6">
        <f>(L64-M64)*0.7</f>
        <v>10.5</v>
      </c>
    </row>
    <row r="65" spans="1:16">
      <c r="A65" s="52" t="s">
        <v>141</v>
      </c>
      <c r="B65" s="52"/>
      <c r="C65" s="57">
        <v>44459</v>
      </c>
      <c r="D65" s="57"/>
      <c r="E65" s="57">
        <v>44481</v>
      </c>
      <c r="F65" s="10" t="s">
        <v>161</v>
      </c>
      <c r="G65" s="12">
        <v>10</v>
      </c>
      <c r="H65" s="25">
        <v>15.15</v>
      </c>
      <c r="I65" s="103">
        <f>46/30*22</f>
        <v>33.733333333333334</v>
      </c>
      <c r="J65" s="25">
        <v>80</v>
      </c>
      <c r="K65" s="25"/>
      <c r="L65" s="27">
        <v>120</v>
      </c>
      <c r="M65" s="64">
        <v>46</v>
      </c>
      <c r="N65" s="27">
        <f>10+(120-56)*0.7</f>
        <v>54.8</v>
      </c>
    </row>
    <row r="66" spans="1:16">
      <c r="A66" s="52" t="s">
        <v>140</v>
      </c>
      <c r="B66" s="52"/>
      <c r="C66" s="57">
        <v>44449</v>
      </c>
      <c r="D66" s="57"/>
      <c r="E66" s="57">
        <v>44482</v>
      </c>
      <c r="F66" s="25" t="s">
        <v>160</v>
      </c>
      <c r="G66" s="58">
        <v>10</v>
      </c>
      <c r="H66" s="25">
        <v>13.4</v>
      </c>
      <c r="I66" s="103">
        <f>60/30*33</f>
        <v>66</v>
      </c>
      <c r="J66" s="25">
        <v>80</v>
      </c>
      <c r="K66" s="25"/>
      <c r="L66" s="27">
        <v>120</v>
      </c>
      <c r="M66" s="64">
        <v>61</v>
      </c>
      <c r="N66" s="27">
        <f>(10+49*0.7)</f>
        <v>44.3</v>
      </c>
    </row>
    <row r="67" spans="1:16">
      <c r="A67" s="44" t="s">
        <v>137</v>
      </c>
      <c r="B67" s="44"/>
      <c r="C67" s="35">
        <v>44474</v>
      </c>
      <c r="D67" s="35"/>
      <c r="E67" s="35">
        <v>44487</v>
      </c>
      <c r="F67" s="10" t="s">
        <v>161</v>
      </c>
      <c r="G67" s="12">
        <v>12.5</v>
      </c>
      <c r="H67" s="5">
        <v>15.15</v>
      </c>
      <c r="I67" s="102">
        <f>71/30*13</f>
        <v>30.766666666666666</v>
      </c>
      <c r="J67" s="5">
        <v>95</v>
      </c>
      <c r="K67" s="5"/>
      <c r="L67" s="6">
        <v>140</v>
      </c>
      <c r="M67" s="61">
        <v>71</v>
      </c>
      <c r="N67" s="6">
        <f>12.5+(56.5)*0.7</f>
        <v>52.05</v>
      </c>
    </row>
    <row r="68" spans="1:16">
      <c r="A68" s="44" t="s">
        <v>139</v>
      </c>
      <c r="B68" s="44"/>
      <c r="C68" s="35">
        <v>44492</v>
      </c>
      <c r="D68" s="35"/>
      <c r="E68" s="35">
        <v>44539</v>
      </c>
      <c r="F68" s="40"/>
      <c r="G68" s="49"/>
      <c r="H68" s="5">
        <v>16.350000000000001</v>
      </c>
      <c r="I68" s="102">
        <f>71/30*46</f>
        <v>108.86666666666667</v>
      </c>
      <c r="J68" s="5">
        <v>95</v>
      </c>
      <c r="K68" s="5"/>
      <c r="L68" s="6">
        <v>140</v>
      </c>
      <c r="M68" s="61">
        <v>71</v>
      </c>
      <c r="N68" s="12">
        <f>(140-71)*0.7</f>
        <v>48.3</v>
      </c>
      <c r="O68" s="72" t="s">
        <v>329</v>
      </c>
      <c r="P68" s="72">
        <v>33.81</v>
      </c>
    </row>
    <row r="69" spans="1:16">
      <c r="A69" s="44" t="s">
        <v>144</v>
      </c>
      <c r="B69" s="44"/>
      <c r="C69" s="35">
        <v>44526</v>
      </c>
      <c r="D69" s="35"/>
      <c r="E69" s="35">
        <v>44550</v>
      </c>
      <c r="F69" s="5" t="s">
        <v>160</v>
      </c>
      <c r="G69" s="49">
        <v>12.5</v>
      </c>
      <c r="H69" s="5">
        <v>13.4</v>
      </c>
      <c r="I69" s="102">
        <f>83/30*24</f>
        <v>66.400000000000006</v>
      </c>
      <c r="J69" s="5"/>
      <c r="K69" s="5"/>
      <c r="L69" s="6">
        <v>140</v>
      </c>
      <c r="M69" s="61">
        <v>94</v>
      </c>
      <c r="N69" s="6">
        <f>12.5+(140-12.5-94)*0.7</f>
        <v>35.950000000000003</v>
      </c>
    </row>
    <row r="70" spans="1:16">
      <c r="A70" s="44" t="s">
        <v>149</v>
      </c>
      <c r="B70" s="44"/>
      <c r="C70" s="35">
        <v>44880</v>
      </c>
      <c r="D70" s="35"/>
      <c r="E70" s="35">
        <v>44575</v>
      </c>
      <c r="F70" s="40"/>
      <c r="G70" s="49"/>
      <c r="H70" s="5">
        <v>13.4</v>
      </c>
      <c r="I70" s="102"/>
      <c r="J70" s="5">
        <v>50</v>
      </c>
      <c r="K70" s="5"/>
      <c r="L70" s="6">
        <v>160</v>
      </c>
      <c r="M70" s="61">
        <f>71+9</f>
        <v>80</v>
      </c>
      <c r="N70" s="6">
        <f>(160-80)*0.7</f>
        <v>56</v>
      </c>
    </row>
    <row r="71" spans="1:16">
      <c r="A71" s="44" t="s">
        <v>146</v>
      </c>
      <c r="B71" s="44"/>
      <c r="C71" s="4">
        <v>44586</v>
      </c>
      <c r="D71" s="4"/>
      <c r="E71" s="4">
        <v>44615</v>
      </c>
      <c r="F71" s="10" t="s">
        <v>161</v>
      </c>
      <c r="G71" s="12">
        <v>12.5</v>
      </c>
      <c r="H71" s="5">
        <v>15.46</v>
      </c>
      <c r="I71" s="102">
        <f>27/30*28</f>
        <v>25.2</v>
      </c>
      <c r="J71" s="5">
        <v>110</v>
      </c>
      <c r="K71" s="5"/>
      <c r="L71" s="6">
        <v>154</v>
      </c>
      <c r="M71" s="61">
        <v>72</v>
      </c>
      <c r="N71" s="6">
        <f>12.5+(154-12.5-62)*0.7</f>
        <v>68.150000000000006</v>
      </c>
    </row>
    <row r="72" spans="1:16">
      <c r="A72" s="44" t="s">
        <v>150</v>
      </c>
      <c r="B72" s="44"/>
      <c r="C72" s="4">
        <v>44899</v>
      </c>
      <c r="D72" s="4"/>
      <c r="E72" s="4">
        <v>44607</v>
      </c>
      <c r="F72" s="12" t="s">
        <v>160</v>
      </c>
      <c r="G72" s="12">
        <v>12.5</v>
      </c>
      <c r="H72" s="5">
        <v>13.4</v>
      </c>
      <c r="I72" s="102">
        <f>71/30*61</f>
        <v>144.36666666666667</v>
      </c>
      <c r="J72" s="5">
        <v>80</v>
      </c>
      <c r="K72" s="5"/>
      <c r="L72" s="6">
        <v>120</v>
      </c>
      <c r="M72" s="61">
        <v>60</v>
      </c>
      <c r="N72" s="6">
        <f>12.5+(120-72.5)*0.7</f>
        <v>45.75</v>
      </c>
    </row>
    <row r="73" spans="1:16">
      <c r="A73" s="44" t="s">
        <v>153</v>
      </c>
      <c r="B73" s="44"/>
      <c r="C73" s="4">
        <v>44623</v>
      </c>
      <c r="D73" s="4"/>
      <c r="E73" s="4">
        <v>44623</v>
      </c>
      <c r="F73" s="40"/>
      <c r="G73" s="40"/>
      <c r="H73" s="5">
        <v>11.03</v>
      </c>
      <c r="I73" s="102">
        <v>0</v>
      </c>
      <c r="J73" s="5">
        <v>15</v>
      </c>
      <c r="K73" s="5"/>
      <c r="L73" s="6">
        <v>30</v>
      </c>
      <c r="M73" s="61">
        <v>12</v>
      </c>
      <c r="N73" s="6">
        <f>(L73-M73)*0.7</f>
        <v>12.6</v>
      </c>
    </row>
    <row r="74" spans="1:16">
      <c r="A74" s="44" t="s">
        <v>157</v>
      </c>
      <c r="B74" s="44"/>
      <c r="C74" s="4">
        <v>44627</v>
      </c>
      <c r="D74" s="4"/>
      <c r="E74" s="4">
        <v>44627</v>
      </c>
      <c r="F74" s="10" t="s">
        <v>161</v>
      </c>
      <c r="G74" s="12">
        <v>10</v>
      </c>
      <c r="H74" s="5">
        <v>15.46</v>
      </c>
      <c r="I74" s="102">
        <v>0</v>
      </c>
      <c r="J74" s="5">
        <v>0</v>
      </c>
      <c r="K74" s="5"/>
      <c r="L74" s="6">
        <v>100</v>
      </c>
      <c r="M74" s="61">
        <v>44</v>
      </c>
      <c r="N74" s="6">
        <f>10+(46)*0.7</f>
        <v>42.199999999999996</v>
      </c>
    </row>
    <row r="75" spans="1:16">
      <c r="A75" s="44" t="s">
        <v>171</v>
      </c>
      <c r="B75" s="44"/>
      <c r="C75" s="4">
        <v>44648</v>
      </c>
      <c r="D75" s="4"/>
      <c r="E75" s="4">
        <v>44734</v>
      </c>
      <c r="F75" s="40"/>
      <c r="G75" s="5"/>
      <c r="H75" s="5">
        <v>13.72</v>
      </c>
      <c r="I75" s="102">
        <f>56/30*84</f>
        <v>156.80000000000001</v>
      </c>
      <c r="J75" s="5">
        <v>95</v>
      </c>
      <c r="K75" s="5"/>
      <c r="L75" s="6">
        <v>140</v>
      </c>
      <c r="M75" s="61">
        <v>56</v>
      </c>
      <c r="N75" s="6">
        <f>(140-56)*0.7</f>
        <v>58.8</v>
      </c>
    </row>
    <row r="76" spans="1:16">
      <c r="A76" s="44" t="s">
        <v>172</v>
      </c>
      <c r="B76" s="44"/>
      <c r="C76" s="4">
        <v>44705</v>
      </c>
      <c r="D76" s="4"/>
      <c r="E76" s="4">
        <v>44715</v>
      </c>
      <c r="F76" s="40"/>
      <c r="G76" s="5"/>
      <c r="H76" s="5">
        <v>10.039999999999999</v>
      </c>
      <c r="I76" s="102">
        <f>25/30*9</f>
        <v>7.5</v>
      </c>
      <c r="J76" s="5"/>
      <c r="K76" s="5"/>
      <c r="L76" s="6">
        <v>50</v>
      </c>
      <c r="M76" s="61">
        <v>25</v>
      </c>
      <c r="N76" s="6">
        <f>(50-25)*0.7</f>
        <v>17.5</v>
      </c>
    </row>
    <row r="77" spans="1:16">
      <c r="A77" s="44" t="s">
        <v>173</v>
      </c>
      <c r="B77" s="44"/>
      <c r="C77" s="4">
        <v>44704</v>
      </c>
      <c r="D77" s="4"/>
      <c r="E77" s="4">
        <v>44721</v>
      </c>
      <c r="F77" s="10" t="s">
        <v>161</v>
      </c>
      <c r="G77" s="56">
        <v>12.5</v>
      </c>
      <c r="H77" s="5">
        <v>13.72</v>
      </c>
      <c r="I77" s="102">
        <f>37/30*16</f>
        <v>19.733333333333334</v>
      </c>
      <c r="J77" s="5">
        <f>50+45</f>
        <v>95</v>
      </c>
      <c r="K77" s="5"/>
      <c r="L77" s="6">
        <v>129</v>
      </c>
      <c r="M77" s="61">
        <v>54.5</v>
      </c>
      <c r="N77" s="56">
        <f>12.5+(116.5-54.5)*0.7</f>
        <v>55.9</v>
      </c>
    </row>
    <row r="78" spans="1:16">
      <c r="A78" s="44" t="s">
        <v>174</v>
      </c>
      <c r="B78" s="44"/>
      <c r="C78" s="4">
        <v>44715</v>
      </c>
      <c r="D78" s="4"/>
      <c r="E78" s="4">
        <v>44820</v>
      </c>
      <c r="F78" s="10" t="s">
        <v>161</v>
      </c>
      <c r="G78" s="56">
        <v>15</v>
      </c>
      <c r="H78" s="5">
        <v>14.6</v>
      </c>
      <c r="I78" s="102">
        <f>56/30*103</f>
        <v>192.26666666666668</v>
      </c>
      <c r="J78" s="5">
        <v>50</v>
      </c>
      <c r="K78" s="5"/>
      <c r="L78" s="6">
        <f>130</f>
        <v>130</v>
      </c>
      <c r="M78" s="61">
        <v>56</v>
      </c>
      <c r="N78" s="56">
        <f>15+(115-56)*0.7</f>
        <v>56.3</v>
      </c>
    </row>
    <row r="79" spans="1:16">
      <c r="A79" s="44" t="s">
        <v>183</v>
      </c>
      <c r="B79" s="44"/>
      <c r="C79" s="4">
        <v>44749</v>
      </c>
      <c r="D79" s="4">
        <v>44830</v>
      </c>
      <c r="E79" s="4">
        <v>44858</v>
      </c>
      <c r="F79" s="40"/>
      <c r="G79" s="5"/>
      <c r="H79" s="5">
        <v>11.03</v>
      </c>
      <c r="I79" s="102">
        <v>25</v>
      </c>
      <c r="J79" s="5">
        <v>15</v>
      </c>
      <c r="K79" s="5"/>
      <c r="L79" s="6">
        <v>80</v>
      </c>
      <c r="M79" s="61">
        <v>25</v>
      </c>
      <c r="N79" s="6">
        <f>55*0.7</f>
        <v>38.5</v>
      </c>
    </row>
    <row r="80" spans="1:16">
      <c r="A80" s="44" t="s">
        <v>184</v>
      </c>
      <c r="B80" s="44"/>
      <c r="C80" s="4">
        <v>44775</v>
      </c>
      <c r="D80" s="4">
        <v>44810</v>
      </c>
      <c r="E80" s="4">
        <v>44848</v>
      </c>
      <c r="F80" s="40"/>
      <c r="G80" s="5"/>
      <c r="H80" s="5">
        <v>23.38</v>
      </c>
      <c r="I80" s="102">
        <f>100/30*38</f>
        <v>126.66666666666667</v>
      </c>
      <c r="J80" s="5">
        <v>155</v>
      </c>
      <c r="K80" s="5"/>
      <c r="L80" s="6">
        <v>220</v>
      </c>
      <c r="M80" s="61">
        <v>100</v>
      </c>
      <c r="N80" s="6">
        <v>90.75</v>
      </c>
    </row>
    <row r="81" spans="1:14">
      <c r="A81" s="44" t="s">
        <v>185</v>
      </c>
      <c r="B81" s="44"/>
      <c r="C81" s="4">
        <v>44830</v>
      </c>
      <c r="D81" s="4">
        <v>44852</v>
      </c>
      <c r="E81" s="4">
        <v>44858</v>
      </c>
      <c r="F81" s="10" t="s">
        <v>161</v>
      </c>
      <c r="G81" s="12">
        <v>15</v>
      </c>
      <c r="H81" s="5">
        <v>23.38</v>
      </c>
      <c r="I81" s="102">
        <f>54.5/30*6</f>
        <v>10.9</v>
      </c>
      <c r="J81" s="5">
        <v>95</v>
      </c>
      <c r="K81" s="5"/>
      <c r="L81" s="6">
        <v>160</v>
      </c>
      <c r="M81" s="61">
        <v>64.5</v>
      </c>
      <c r="N81" s="6">
        <f>15+(145-64.5)*0.7</f>
        <v>71.349999999999994</v>
      </c>
    </row>
    <row r="82" spans="1:14">
      <c r="A82" s="44" t="s">
        <v>190</v>
      </c>
      <c r="B82" s="44"/>
      <c r="C82" s="4"/>
      <c r="D82" s="4">
        <v>44879</v>
      </c>
      <c r="E82" s="35">
        <v>44887</v>
      </c>
      <c r="F82" s="44" t="s">
        <v>161</v>
      </c>
      <c r="G82" s="56">
        <v>10</v>
      </c>
      <c r="H82" s="5">
        <v>14.6</v>
      </c>
      <c r="I82" s="102">
        <f>34/30*8</f>
        <v>9.0666666666666664</v>
      </c>
      <c r="J82" s="5">
        <v>45</v>
      </c>
      <c r="K82" s="5"/>
      <c r="L82" s="6">
        <v>75</v>
      </c>
      <c r="M82" s="61">
        <v>34</v>
      </c>
      <c r="N82" s="56">
        <f>10+(80-34)*0.7</f>
        <v>42.199999999999996</v>
      </c>
    </row>
    <row r="83" spans="1:14">
      <c r="A83" s="44" t="s">
        <v>193</v>
      </c>
      <c r="B83" s="44"/>
      <c r="C83" s="4">
        <v>44872</v>
      </c>
      <c r="D83" s="4">
        <v>44879</v>
      </c>
      <c r="E83" s="35">
        <v>44882</v>
      </c>
      <c r="F83" s="40"/>
      <c r="G83" s="5"/>
      <c r="H83" s="5">
        <v>10.039999999999999</v>
      </c>
      <c r="I83" s="102">
        <f>25/30*3</f>
        <v>2.5</v>
      </c>
      <c r="J83" s="5"/>
      <c r="K83" s="5"/>
      <c r="L83" s="6">
        <v>40</v>
      </c>
      <c r="M83" s="61">
        <v>25</v>
      </c>
      <c r="N83" s="6">
        <f>(L83-M83)*0.7</f>
        <v>10.5</v>
      </c>
    </row>
    <row r="84" spans="1:14">
      <c r="A84" s="44" t="s">
        <v>213</v>
      </c>
      <c r="B84" s="44"/>
      <c r="C84" s="4">
        <v>44894</v>
      </c>
      <c r="D84" s="4">
        <v>44908</v>
      </c>
      <c r="E84" s="35">
        <v>44944</v>
      </c>
      <c r="F84" s="40" t="s">
        <v>161</v>
      </c>
      <c r="G84" s="5">
        <v>15</v>
      </c>
      <c r="H84" s="5">
        <v>31.72</v>
      </c>
      <c r="I84" s="102">
        <f>50/30*35</f>
        <v>58.333333333333336</v>
      </c>
      <c r="J84" s="5">
        <f>60+50</f>
        <v>110</v>
      </c>
      <c r="K84" s="5"/>
      <c r="L84" s="6">
        <v>119</v>
      </c>
      <c r="M84" s="61">
        <v>54</v>
      </c>
      <c r="N84" s="94">
        <f>15+(L84-M84-15)*0.7</f>
        <v>50</v>
      </c>
    </row>
    <row r="85" spans="1:14">
      <c r="A85" s="44" t="s">
        <v>227</v>
      </c>
      <c r="B85" s="44"/>
      <c r="C85" s="4">
        <v>44949</v>
      </c>
      <c r="D85" s="4">
        <v>44953</v>
      </c>
      <c r="E85" s="35">
        <v>44966</v>
      </c>
      <c r="F85" s="40" t="s">
        <v>160</v>
      </c>
      <c r="G85" s="5">
        <v>15</v>
      </c>
      <c r="H85" s="5">
        <v>16.38</v>
      </c>
      <c r="I85" s="102">
        <f>61.5/30*12</f>
        <v>24.599999999999998</v>
      </c>
      <c r="J85" s="5">
        <f>50+60</f>
        <v>110</v>
      </c>
      <c r="K85" s="5"/>
      <c r="L85" s="6">
        <v>160</v>
      </c>
      <c r="M85" s="65">
        <f>32.5+7+22</f>
        <v>61.5</v>
      </c>
      <c r="N85" s="59">
        <f>15+(L85-M85-15)*0.7</f>
        <v>73.449999999999989</v>
      </c>
    </row>
    <row r="86" spans="1:14">
      <c r="A86" s="44" t="s">
        <v>228</v>
      </c>
      <c r="B86" s="44"/>
      <c r="C86" s="4">
        <v>44957</v>
      </c>
      <c r="D86" s="4">
        <v>44957</v>
      </c>
      <c r="E86" s="35">
        <v>44977</v>
      </c>
      <c r="F86" s="40"/>
      <c r="G86" s="5"/>
      <c r="H86" s="5">
        <v>20.61</v>
      </c>
      <c r="I86" s="102">
        <f>66/30*20</f>
        <v>44</v>
      </c>
      <c r="J86" s="5">
        <v>90</v>
      </c>
      <c r="K86" s="5"/>
      <c r="L86" s="6">
        <v>155</v>
      </c>
      <c r="M86" s="65">
        <v>54</v>
      </c>
      <c r="N86" s="59">
        <f>(L86-M86)*0.7</f>
        <v>70.699999999999989</v>
      </c>
    </row>
    <row r="87" spans="1:14">
      <c r="A87" s="44" t="s">
        <v>255</v>
      </c>
      <c r="B87" s="44"/>
      <c r="C87" s="35">
        <v>44691</v>
      </c>
      <c r="D87" s="35">
        <v>44994</v>
      </c>
      <c r="E87" s="4">
        <v>44994</v>
      </c>
      <c r="F87" s="40"/>
      <c r="G87" s="40"/>
      <c r="H87" s="5">
        <v>11.03</v>
      </c>
      <c r="I87" s="102">
        <f>25*14</f>
        <v>350</v>
      </c>
      <c r="J87" s="40">
        <f>30+50</f>
        <v>80</v>
      </c>
      <c r="K87" s="40"/>
      <c r="L87" s="6">
        <v>109</v>
      </c>
      <c r="M87" s="6">
        <f>38+7</f>
        <v>45</v>
      </c>
      <c r="N87" s="59">
        <f>(L87-M87)*0.7</f>
        <v>44.8</v>
      </c>
    </row>
    <row r="88" spans="1:14">
      <c r="A88" s="44" t="s">
        <v>187</v>
      </c>
      <c r="B88" s="44"/>
      <c r="C88" s="35"/>
      <c r="D88" s="35">
        <v>44991</v>
      </c>
      <c r="E88" s="4">
        <v>44991</v>
      </c>
      <c r="F88" s="40"/>
      <c r="G88" s="40"/>
      <c r="H88" s="5">
        <v>13.31</v>
      </c>
      <c r="I88" s="102"/>
      <c r="J88" s="40">
        <v>45</v>
      </c>
      <c r="K88" s="40"/>
      <c r="L88" s="6">
        <v>80</v>
      </c>
      <c r="M88" s="6">
        <v>27</v>
      </c>
      <c r="N88" s="59">
        <f>(L88-M88)*0.7</f>
        <v>37.099999999999994</v>
      </c>
    </row>
    <row r="89" spans="1:14">
      <c r="A89" s="76" t="s">
        <v>276</v>
      </c>
      <c r="B89" s="44"/>
      <c r="C89" s="35">
        <v>45061</v>
      </c>
      <c r="D89" s="35">
        <v>45070</v>
      </c>
      <c r="E89" s="4"/>
      <c r="F89" s="40"/>
      <c r="G89" s="40"/>
      <c r="H89" s="5">
        <v>11.48</v>
      </c>
      <c r="I89" s="102">
        <f>21/30*9</f>
        <v>6.3</v>
      </c>
      <c r="J89" s="40"/>
      <c r="K89" s="40"/>
      <c r="L89" s="17">
        <f>50</f>
        <v>50</v>
      </c>
      <c r="M89" s="18">
        <v>21</v>
      </c>
      <c r="N89" s="70">
        <f>(50-21)*0.7</f>
        <v>20.299999999999997</v>
      </c>
    </row>
    <row r="90" spans="1:14">
      <c r="A90" s="76" t="s">
        <v>279</v>
      </c>
      <c r="B90" s="44"/>
      <c r="C90" s="35">
        <v>45065</v>
      </c>
      <c r="D90" s="35">
        <v>45070</v>
      </c>
      <c r="E90" s="4"/>
      <c r="F90" s="40"/>
      <c r="G90" s="40"/>
      <c r="H90" s="5">
        <v>11.48</v>
      </c>
      <c r="I90" s="102">
        <f>21/30*5</f>
        <v>3.5</v>
      </c>
      <c r="J90" s="40"/>
      <c r="K90" s="40"/>
      <c r="L90" s="17">
        <f>50</f>
        <v>50</v>
      </c>
      <c r="M90" s="18">
        <v>21</v>
      </c>
      <c r="N90" s="70">
        <f>(50-21)*0.7</f>
        <v>20.299999999999997</v>
      </c>
    </row>
    <row r="91" spans="1:14">
      <c r="A91" s="76" t="s">
        <v>278</v>
      </c>
      <c r="B91" s="52"/>
      <c r="C91" s="57">
        <v>44973</v>
      </c>
      <c r="D91" s="57">
        <v>45070</v>
      </c>
      <c r="E91" s="24"/>
      <c r="F91" s="48"/>
      <c r="G91" s="48"/>
      <c r="H91" s="25">
        <v>11.48</v>
      </c>
      <c r="I91" s="103">
        <f>21/30*98</f>
        <v>68.599999999999994</v>
      </c>
      <c r="J91" s="48"/>
      <c r="K91" s="48"/>
      <c r="L91" s="17">
        <v>50</v>
      </c>
      <c r="M91" s="26">
        <v>21</v>
      </c>
      <c r="N91" s="85">
        <f>(50-21)*0.7</f>
        <v>20.299999999999997</v>
      </c>
    </row>
    <row r="92" spans="1:14">
      <c r="A92" s="44" t="s">
        <v>289</v>
      </c>
      <c r="B92" s="44"/>
      <c r="C92" s="35">
        <v>45110</v>
      </c>
      <c r="D92" s="35">
        <v>45127</v>
      </c>
      <c r="E92" s="4">
        <v>45110</v>
      </c>
      <c r="F92" s="40"/>
      <c r="G92" s="40"/>
      <c r="H92" s="5">
        <v>13.31</v>
      </c>
      <c r="I92" s="102">
        <f>27/30*17</f>
        <v>15.3</v>
      </c>
      <c r="J92" s="40">
        <v>45</v>
      </c>
      <c r="K92" s="40"/>
      <c r="L92" s="6">
        <v>75</v>
      </c>
      <c r="M92" s="6">
        <v>27</v>
      </c>
      <c r="N92" s="59">
        <f>(L92-M92)*0.7</f>
        <v>33.599999999999994</v>
      </c>
    </row>
    <row r="93" spans="1:14">
      <c r="A93" s="44" t="s">
        <v>292</v>
      </c>
      <c r="B93" s="44"/>
      <c r="C93" s="35">
        <v>45138</v>
      </c>
      <c r="D93" s="35">
        <v>45139</v>
      </c>
      <c r="E93" s="35">
        <v>45162</v>
      </c>
      <c r="F93" s="40"/>
      <c r="G93" s="40"/>
      <c r="H93" s="5">
        <v>12.48</v>
      </c>
      <c r="I93" s="102">
        <f>27/30*23</f>
        <v>20.7</v>
      </c>
      <c r="J93" s="40">
        <v>45</v>
      </c>
      <c r="K93" s="40"/>
      <c r="L93" s="6">
        <v>90</v>
      </c>
      <c r="M93" s="6">
        <v>27</v>
      </c>
      <c r="N93" s="59">
        <f>(L93-M93)*0.7</f>
        <v>44.099999999999994</v>
      </c>
    </row>
    <row r="94" spans="1:14">
      <c r="A94" s="44" t="s">
        <v>293</v>
      </c>
      <c r="B94" s="44"/>
      <c r="C94" s="35">
        <v>45086</v>
      </c>
      <c r="D94" s="35">
        <v>45089</v>
      </c>
      <c r="E94" s="4">
        <v>45103</v>
      </c>
      <c r="F94" s="40"/>
      <c r="G94" s="40"/>
      <c r="H94" s="5">
        <v>11.03</v>
      </c>
      <c r="I94" s="102">
        <f>21/30*14</f>
        <v>9.7999999999999989</v>
      </c>
      <c r="J94" s="40"/>
      <c r="K94" s="40"/>
      <c r="L94" s="6">
        <v>50</v>
      </c>
      <c r="M94" s="6">
        <v>21</v>
      </c>
      <c r="N94" s="59">
        <f>(L94-M94)*0.7</f>
        <v>20.299999999999997</v>
      </c>
    </row>
    <row r="95" spans="1:14">
      <c r="A95" s="44" t="s">
        <v>295</v>
      </c>
      <c r="B95" s="44"/>
      <c r="C95" s="35">
        <v>45228</v>
      </c>
      <c r="D95" s="35">
        <v>45203</v>
      </c>
      <c r="E95" s="4"/>
      <c r="F95" s="40"/>
      <c r="G95" s="40"/>
      <c r="H95" s="5">
        <v>13.31</v>
      </c>
      <c r="I95" s="102">
        <f>27/30*5</f>
        <v>4.5</v>
      </c>
      <c r="J95" s="40">
        <v>45</v>
      </c>
      <c r="K95" s="40"/>
      <c r="L95" s="6">
        <v>80</v>
      </c>
      <c r="M95" s="6">
        <v>27</v>
      </c>
      <c r="N95" s="59">
        <f>(L95-M95)*0.7</f>
        <v>37.099999999999994</v>
      </c>
    </row>
    <row r="96" spans="1:14">
      <c r="A96" s="44" t="s">
        <v>320</v>
      </c>
      <c r="B96" s="44"/>
      <c r="C96" s="35">
        <v>45177</v>
      </c>
      <c r="D96" s="35">
        <v>45196</v>
      </c>
      <c r="E96" s="4"/>
      <c r="F96" s="40"/>
      <c r="G96" s="40"/>
      <c r="H96" s="5">
        <v>10.44</v>
      </c>
      <c r="I96" s="102">
        <f>38/30*21</f>
        <v>26.599999999999998</v>
      </c>
      <c r="J96" s="40"/>
      <c r="K96" s="40"/>
      <c r="L96" s="6">
        <v>69</v>
      </c>
      <c r="M96" s="6">
        <v>38</v>
      </c>
      <c r="N96" s="59">
        <f>(69-38)*0.7</f>
        <v>21.7</v>
      </c>
    </row>
    <row r="97" spans="1:16">
      <c r="A97" s="44" t="s">
        <v>325</v>
      </c>
      <c r="B97" s="44"/>
      <c r="C97" s="35"/>
      <c r="D97" s="35">
        <v>45223</v>
      </c>
      <c r="E97" s="4">
        <v>45239</v>
      </c>
      <c r="F97" s="40"/>
      <c r="G97" s="40"/>
      <c r="H97" s="5">
        <v>40</v>
      </c>
      <c r="I97" s="102">
        <f>43/30*15</f>
        <v>21.5</v>
      </c>
      <c r="J97" s="40"/>
      <c r="K97" s="40"/>
      <c r="L97" s="6">
        <v>69</v>
      </c>
      <c r="M97" s="6">
        <v>43</v>
      </c>
      <c r="N97" s="94">
        <f>(69-43)*0.7</f>
        <v>18.2</v>
      </c>
      <c r="O97" s="72" t="s">
        <v>329</v>
      </c>
      <c r="P97" s="72">
        <v>12.74</v>
      </c>
    </row>
    <row r="98" spans="1:16">
      <c r="A98" s="44" t="s">
        <v>326</v>
      </c>
      <c r="B98" s="44"/>
      <c r="C98" s="35"/>
      <c r="D98" s="35">
        <v>45188</v>
      </c>
      <c r="E98" s="4">
        <v>45209</v>
      </c>
      <c r="F98" s="40"/>
      <c r="G98" s="40"/>
      <c r="H98" s="5">
        <v>11.48</v>
      </c>
      <c r="I98" s="102"/>
      <c r="J98" s="40"/>
      <c r="K98" s="40"/>
      <c r="L98" s="6">
        <v>59</v>
      </c>
      <c r="M98" s="6">
        <v>38</v>
      </c>
      <c r="N98" s="59">
        <f>(L98-M98)*0.7</f>
        <v>14.7</v>
      </c>
    </row>
    <row r="99" spans="1:16">
      <c r="A99" s="44" t="s">
        <v>108</v>
      </c>
      <c r="B99" s="44"/>
      <c r="C99" s="35"/>
      <c r="D99" s="35">
        <v>45231</v>
      </c>
      <c r="E99" s="4">
        <v>45231</v>
      </c>
      <c r="F99" s="40"/>
      <c r="G99" s="40"/>
      <c r="H99" s="5"/>
      <c r="I99" s="102"/>
      <c r="J99" s="40"/>
      <c r="K99" s="40"/>
      <c r="L99" s="6">
        <v>69</v>
      </c>
      <c r="M99" s="6">
        <v>43</v>
      </c>
      <c r="N99" s="59">
        <f>(L99-M99)*0.7</f>
        <v>18.2</v>
      </c>
    </row>
    <row r="100" spans="1:16">
      <c r="A100" s="44" t="s">
        <v>327</v>
      </c>
      <c r="B100" s="44"/>
      <c r="C100" s="35"/>
      <c r="D100" s="35"/>
      <c r="E100" s="4">
        <v>45127</v>
      </c>
      <c r="F100" s="40"/>
      <c r="G100" s="40"/>
      <c r="H100" s="5">
        <v>11.48</v>
      </c>
      <c r="I100" s="102"/>
      <c r="J100" s="40"/>
      <c r="K100" s="40"/>
      <c r="L100" s="6">
        <v>25</v>
      </c>
      <c r="M100" s="6">
        <v>9</v>
      </c>
      <c r="N100" s="59">
        <f>(L100-M100)*0.7</f>
        <v>11.2</v>
      </c>
    </row>
    <row r="101" spans="1:16">
      <c r="A101" s="44" t="s">
        <v>336</v>
      </c>
      <c r="B101" s="44"/>
      <c r="C101" s="35"/>
      <c r="D101" s="35">
        <v>45278</v>
      </c>
      <c r="E101" s="4">
        <v>45278</v>
      </c>
      <c r="F101" s="40"/>
      <c r="G101" s="40"/>
      <c r="H101" s="5"/>
      <c r="I101" s="102"/>
      <c r="J101" s="40"/>
      <c r="K101" s="40"/>
      <c r="L101" s="6">
        <v>69</v>
      </c>
      <c r="M101" s="6">
        <v>43</v>
      </c>
      <c r="N101" s="59">
        <f>(69-43)*0.7/30*42</f>
        <v>25.48</v>
      </c>
    </row>
    <row r="102" spans="1:16">
      <c r="A102" s="44" t="s">
        <v>337</v>
      </c>
      <c r="B102" s="44"/>
      <c r="C102" s="35">
        <v>45342</v>
      </c>
      <c r="D102" s="35">
        <v>44977</v>
      </c>
      <c r="E102" s="4">
        <v>45342</v>
      </c>
      <c r="F102" s="40"/>
      <c r="G102" s="40"/>
      <c r="H102" s="5">
        <v>13.78</v>
      </c>
      <c r="I102" s="102"/>
      <c r="J102" s="40">
        <f>45+50</f>
        <v>95</v>
      </c>
      <c r="K102" s="40"/>
      <c r="L102" s="6">
        <v>100</v>
      </c>
      <c r="M102" s="6">
        <v>38.5</v>
      </c>
      <c r="N102" s="59">
        <f t="shared" ref="N102:N123" si="2">(L102-M102)*0.7</f>
        <v>43.05</v>
      </c>
    </row>
    <row r="103" spans="1:16">
      <c r="A103" s="44" t="s">
        <v>338</v>
      </c>
      <c r="B103" s="44"/>
      <c r="C103" s="35">
        <v>45271</v>
      </c>
      <c r="D103" s="35"/>
      <c r="E103" s="4">
        <v>45301</v>
      </c>
      <c r="F103" s="40"/>
      <c r="G103" s="40"/>
      <c r="H103" s="5">
        <v>14.26</v>
      </c>
      <c r="I103" s="102">
        <f>25/30*29</f>
        <v>24.166666666666668</v>
      </c>
      <c r="J103" s="40">
        <f>30+50</f>
        <v>80</v>
      </c>
      <c r="K103" s="40"/>
      <c r="L103" s="6">
        <v>80</v>
      </c>
      <c r="M103" s="6">
        <v>29</v>
      </c>
      <c r="N103" s="59">
        <f t="shared" si="2"/>
        <v>35.699999999999996</v>
      </c>
      <c r="O103" t="s">
        <v>339</v>
      </c>
    </row>
    <row r="104" spans="1:16">
      <c r="A104" s="44" t="s">
        <v>333</v>
      </c>
      <c r="B104" s="44"/>
      <c r="C104" s="35"/>
      <c r="D104" s="35"/>
      <c r="E104" s="4">
        <v>45336</v>
      </c>
      <c r="F104" s="40"/>
      <c r="G104" s="40"/>
      <c r="H104" s="5">
        <v>10</v>
      </c>
      <c r="I104" s="102">
        <v>0</v>
      </c>
      <c r="J104" s="40">
        <v>120</v>
      </c>
      <c r="K104" s="40"/>
      <c r="L104" s="6">
        <v>160</v>
      </c>
      <c r="M104" s="6">
        <v>72</v>
      </c>
      <c r="N104" s="59">
        <f t="shared" si="2"/>
        <v>61.599999999999994</v>
      </c>
    </row>
    <row r="105" spans="1:16">
      <c r="A105" s="44" t="s">
        <v>343</v>
      </c>
      <c r="B105" s="44"/>
      <c r="C105" s="35"/>
      <c r="D105" s="35"/>
      <c r="E105" s="4">
        <v>45336</v>
      </c>
      <c r="F105" s="40"/>
      <c r="G105" s="40"/>
      <c r="H105" s="5">
        <v>10.92</v>
      </c>
      <c r="I105" s="102"/>
      <c r="J105" s="40"/>
      <c r="K105" s="40"/>
      <c r="L105" s="6">
        <v>59</v>
      </c>
      <c r="M105" s="6">
        <v>38</v>
      </c>
      <c r="N105" s="59">
        <f t="shared" si="2"/>
        <v>14.7</v>
      </c>
    </row>
    <row r="106" spans="1:16">
      <c r="A106" s="44" t="s">
        <v>381</v>
      </c>
      <c r="B106" s="44"/>
      <c r="C106" s="35"/>
      <c r="D106" s="35">
        <v>45323</v>
      </c>
      <c r="E106" s="4">
        <v>45323</v>
      </c>
      <c r="F106" s="40"/>
      <c r="G106" s="40"/>
      <c r="H106" s="5">
        <v>10.92</v>
      </c>
      <c r="I106" s="102"/>
      <c r="J106" s="40"/>
      <c r="K106" s="40"/>
      <c r="L106" s="6">
        <v>59</v>
      </c>
      <c r="M106" s="6">
        <v>38</v>
      </c>
      <c r="N106" s="59">
        <f t="shared" si="2"/>
        <v>14.7</v>
      </c>
    </row>
    <row r="107" spans="1:16">
      <c r="A107" s="44" t="s">
        <v>345</v>
      </c>
      <c r="B107" s="44"/>
      <c r="C107" s="35"/>
      <c r="D107" s="35"/>
      <c r="E107" s="4">
        <v>45345</v>
      </c>
      <c r="F107" s="40"/>
      <c r="G107" s="40"/>
      <c r="H107" s="5">
        <v>24.2</v>
      </c>
      <c r="I107" s="102"/>
      <c r="J107" s="40">
        <v>45</v>
      </c>
      <c r="K107" s="40"/>
      <c r="L107" s="6">
        <v>90</v>
      </c>
      <c r="M107" s="6">
        <f>7+9</f>
        <v>16</v>
      </c>
      <c r="N107" s="59">
        <f t="shared" si="2"/>
        <v>51.8</v>
      </c>
    </row>
    <row r="108" spans="1:16">
      <c r="A108" s="44" t="s">
        <v>346</v>
      </c>
      <c r="B108" s="44"/>
      <c r="C108" s="35"/>
      <c r="D108" s="35"/>
      <c r="E108" s="4">
        <v>45334</v>
      </c>
      <c r="F108" s="40"/>
      <c r="G108" s="40"/>
      <c r="H108" s="5">
        <v>12.01</v>
      </c>
      <c r="I108" s="102"/>
      <c r="J108" s="40">
        <v>15</v>
      </c>
      <c r="K108" s="40"/>
      <c r="L108" s="6">
        <v>20</v>
      </c>
      <c r="M108" s="6">
        <v>9</v>
      </c>
      <c r="N108" s="70">
        <f t="shared" si="2"/>
        <v>7.6999999999999993</v>
      </c>
    </row>
    <row r="109" spans="1:16">
      <c r="A109" s="44" t="s">
        <v>361</v>
      </c>
      <c r="B109" s="44"/>
      <c r="C109" s="35"/>
      <c r="D109" s="35">
        <v>45366</v>
      </c>
      <c r="E109" s="4">
        <v>45385</v>
      </c>
      <c r="F109" s="40"/>
      <c r="G109" s="40"/>
      <c r="H109" s="5"/>
      <c r="I109" s="102">
        <f>69/30*18</f>
        <v>41.4</v>
      </c>
      <c r="J109" s="40"/>
      <c r="K109" s="40"/>
      <c r="L109" s="6">
        <v>69</v>
      </c>
      <c r="M109" s="6">
        <v>43</v>
      </c>
      <c r="N109" s="70">
        <f t="shared" si="2"/>
        <v>18.2</v>
      </c>
    </row>
    <row r="110" spans="1:16">
      <c r="A110" s="44" t="s">
        <v>365</v>
      </c>
      <c r="B110" s="44"/>
      <c r="C110" s="35"/>
      <c r="D110" s="35">
        <v>45450</v>
      </c>
      <c r="E110" s="4">
        <v>45456</v>
      </c>
      <c r="F110" s="40"/>
      <c r="G110" s="40"/>
      <c r="H110" s="5"/>
      <c r="I110" s="102">
        <f>47/30*5</f>
        <v>7.833333333333333</v>
      </c>
      <c r="J110" s="40"/>
      <c r="K110" s="40"/>
      <c r="L110" s="6">
        <v>69</v>
      </c>
      <c r="M110" s="6">
        <v>47</v>
      </c>
      <c r="N110" s="59">
        <f t="shared" si="2"/>
        <v>15.399999999999999</v>
      </c>
    </row>
    <row r="111" spans="1:16">
      <c r="A111" s="44" t="s">
        <v>358</v>
      </c>
      <c r="B111" s="44"/>
      <c r="C111" s="35"/>
      <c r="D111" s="35">
        <v>45468</v>
      </c>
      <c r="E111" s="4">
        <v>45468</v>
      </c>
      <c r="F111" s="40"/>
      <c r="G111" s="40"/>
      <c r="H111" s="5">
        <v>12.01</v>
      </c>
      <c r="I111" s="102"/>
      <c r="J111" s="40"/>
      <c r="K111" s="40"/>
      <c r="L111" s="6">
        <v>59</v>
      </c>
      <c r="M111" s="6">
        <v>38</v>
      </c>
      <c r="N111" s="59">
        <f t="shared" si="2"/>
        <v>14.7</v>
      </c>
    </row>
    <row r="112" spans="1:16">
      <c r="A112" s="44" t="s">
        <v>218</v>
      </c>
      <c r="B112" s="44"/>
      <c r="C112" s="35"/>
      <c r="D112" s="35">
        <v>45456</v>
      </c>
      <c r="E112" s="4">
        <v>45456</v>
      </c>
      <c r="F112" s="40"/>
      <c r="G112" s="40"/>
      <c r="H112" s="5">
        <v>10</v>
      </c>
      <c r="I112" s="102"/>
      <c r="J112" s="40">
        <v>45</v>
      </c>
      <c r="K112" s="40"/>
      <c r="L112" s="6">
        <v>80</v>
      </c>
      <c r="M112" s="6">
        <v>27</v>
      </c>
      <c r="N112" s="59">
        <f t="shared" si="2"/>
        <v>37.099999999999994</v>
      </c>
    </row>
    <row r="113" spans="1:14">
      <c r="A113" s="44" t="s">
        <v>366</v>
      </c>
      <c r="B113" s="44"/>
      <c r="C113" s="35"/>
      <c r="D113" s="35">
        <v>45454</v>
      </c>
      <c r="E113" s="4"/>
      <c r="F113" s="40"/>
      <c r="G113" s="40"/>
      <c r="H113" s="5"/>
      <c r="I113" s="102"/>
      <c r="J113" s="40"/>
      <c r="K113" s="40"/>
      <c r="L113" s="6">
        <v>59</v>
      </c>
      <c r="M113" s="6">
        <v>38</v>
      </c>
      <c r="N113" s="59">
        <f t="shared" si="2"/>
        <v>14.7</v>
      </c>
    </row>
    <row r="114" spans="1:14">
      <c r="A114" s="44" t="s">
        <v>64</v>
      </c>
      <c r="B114" s="44"/>
      <c r="C114" s="35"/>
      <c r="D114" s="35">
        <v>45469</v>
      </c>
      <c r="E114" s="4">
        <v>45469</v>
      </c>
      <c r="F114" s="40"/>
      <c r="G114" s="40"/>
      <c r="H114" s="5"/>
      <c r="I114" s="102"/>
      <c r="J114" s="40"/>
      <c r="K114" s="40"/>
      <c r="L114" s="6">
        <v>100</v>
      </c>
      <c r="M114" s="18">
        <v>5</v>
      </c>
      <c r="N114" s="59">
        <f t="shared" si="2"/>
        <v>66.5</v>
      </c>
    </row>
    <row r="115" spans="1:14">
      <c r="A115" s="44" t="s">
        <v>369</v>
      </c>
      <c r="B115" s="44"/>
      <c r="C115" s="35"/>
      <c r="D115" s="35">
        <v>45464</v>
      </c>
      <c r="E115" s="4">
        <v>41811</v>
      </c>
      <c r="F115" s="40"/>
      <c r="G115" s="40"/>
      <c r="H115" s="5">
        <v>24.98</v>
      </c>
      <c r="I115" s="102"/>
      <c r="J115" s="40">
        <v>15</v>
      </c>
      <c r="K115" s="40"/>
      <c r="L115" s="6">
        <v>80</v>
      </c>
      <c r="M115" s="6">
        <v>42.5</v>
      </c>
      <c r="N115" s="59">
        <f t="shared" si="2"/>
        <v>26.25</v>
      </c>
    </row>
    <row r="116" spans="1:14">
      <c r="A116" s="44" t="s">
        <v>370</v>
      </c>
      <c r="B116" s="44"/>
      <c r="C116" s="35"/>
      <c r="D116" s="35">
        <v>45444</v>
      </c>
      <c r="E116" s="4">
        <v>41791</v>
      </c>
      <c r="F116" s="40"/>
      <c r="G116" s="40"/>
      <c r="H116" s="5">
        <v>12.98</v>
      </c>
      <c r="I116" s="102"/>
      <c r="J116" s="40">
        <v>30</v>
      </c>
      <c r="K116" s="40"/>
      <c r="L116" s="6">
        <v>65</v>
      </c>
      <c r="M116" s="6">
        <v>18</v>
      </c>
      <c r="N116" s="59">
        <f t="shared" si="2"/>
        <v>32.9</v>
      </c>
    </row>
    <row r="117" spans="1:14">
      <c r="A117" s="44" t="s">
        <v>375</v>
      </c>
      <c r="B117" s="44"/>
      <c r="C117" s="35"/>
      <c r="D117" s="35">
        <v>45471</v>
      </c>
      <c r="E117" s="35">
        <v>45471</v>
      </c>
      <c r="F117" s="40"/>
      <c r="G117" s="40"/>
      <c r="H117" s="5">
        <f>10+12.01</f>
        <v>22.009999999999998</v>
      </c>
      <c r="I117" s="102"/>
      <c r="J117" s="40">
        <v>30</v>
      </c>
      <c r="K117" s="40"/>
      <c r="L117" s="6">
        <v>90</v>
      </c>
      <c r="M117" s="18">
        <f>38.5+1+18</f>
        <v>57.5</v>
      </c>
      <c r="N117" s="70">
        <f t="shared" si="2"/>
        <v>22.75</v>
      </c>
    </row>
    <row r="118" spans="1:14">
      <c r="A118" s="44" t="s">
        <v>83</v>
      </c>
      <c r="B118" s="44"/>
      <c r="C118" s="35"/>
      <c r="D118" s="35">
        <v>45482</v>
      </c>
      <c r="E118" s="35">
        <v>45482</v>
      </c>
      <c r="F118" s="40"/>
      <c r="G118" s="40"/>
      <c r="H118" s="5"/>
      <c r="I118" s="102"/>
      <c r="J118" s="40"/>
      <c r="K118" s="40"/>
      <c r="L118" s="6">
        <v>69</v>
      </c>
      <c r="M118" s="18">
        <v>43</v>
      </c>
      <c r="N118" s="70">
        <f t="shared" si="2"/>
        <v>18.2</v>
      </c>
    </row>
    <row r="119" spans="1:14">
      <c r="A119" s="44" t="s">
        <v>383</v>
      </c>
      <c r="B119" s="44"/>
      <c r="C119" s="35"/>
      <c r="D119" s="35">
        <v>45434</v>
      </c>
      <c r="E119" s="35">
        <v>45513</v>
      </c>
      <c r="F119" s="40"/>
      <c r="G119" s="40"/>
      <c r="H119" s="5">
        <v>14.58</v>
      </c>
      <c r="I119" s="102"/>
      <c r="J119" s="40"/>
      <c r="K119" s="40"/>
      <c r="L119" s="6">
        <v>69</v>
      </c>
      <c r="M119" s="18">
        <v>43</v>
      </c>
      <c r="N119" s="70">
        <f t="shared" si="2"/>
        <v>18.2</v>
      </c>
    </row>
    <row r="120" spans="1:14">
      <c r="A120" s="44" t="s">
        <v>384</v>
      </c>
      <c r="B120" s="44"/>
      <c r="C120" s="35"/>
      <c r="D120" s="35"/>
      <c r="E120" s="35">
        <v>45513</v>
      </c>
      <c r="F120" s="40"/>
      <c r="G120" s="40"/>
      <c r="H120" s="5"/>
      <c r="I120" s="102"/>
      <c r="J120" s="40">
        <v>60</v>
      </c>
      <c r="K120" s="40"/>
      <c r="L120" s="6">
        <v>115</v>
      </c>
      <c r="M120" s="6">
        <v>37</v>
      </c>
      <c r="N120" s="70">
        <f t="shared" si="2"/>
        <v>54.599999999999994</v>
      </c>
    </row>
    <row r="121" spans="1:14">
      <c r="A121" s="44" t="s">
        <v>389</v>
      </c>
      <c r="B121" s="44"/>
      <c r="C121" s="35"/>
      <c r="D121" s="35">
        <v>45574</v>
      </c>
      <c r="E121" s="35">
        <v>45574</v>
      </c>
      <c r="F121" s="40"/>
      <c r="G121" s="40"/>
      <c r="H121" s="5"/>
      <c r="I121" s="102"/>
      <c r="J121" s="40"/>
      <c r="K121" s="40"/>
      <c r="L121" s="6">
        <v>10</v>
      </c>
      <c r="M121" s="6">
        <v>1</v>
      </c>
      <c r="N121" s="59">
        <f t="shared" si="2"/>
        <v>6.3</v>
      </c>
    </row>
    <row r="122" spans="1:14">
      <c r="A122" s="44" t="s">
        <v>397</v>
      </c>
      <c r="B122" s="44"/>
      <c r="C122" s="35"/>
      <c r="D122" s="35">
        <v>45510</v>
      </c>
      <c r="E122" s="35">
        <v>45574</v>
      </c>
      <c r="F122" s="40"/>
      <c r="G122" s="40"/>
      <c r="H122" s="5">
        <v>31.89</v>
      </c>
      <c r="I122" s="102">
        <f>79/30*63*0.5</f>
        <v>82.95</v>
      </c>
      <c r="J122" s="40">
        <v>60</v>
      </c>
      <c r="K122" s="40"/>
      <c r="L122" s="6">
        <v>174</v>
      </c>
      <c r="M122" s="6">
        <v>79</v>
      </c>
      <c r="N122" s="59">
        <f t="shared" si="2"/>
        <v>66.5</v>
      </c>
    </row>
    <row r="123" spans="1:14">
      <c r="A123" s="44" t="s">
        <v>398</v>
      </c>
      <c r="B123" s="44"/>
      <c r="C123" s="35"/>
      <c r="D123" s="35">
        <v>45516</v>
      </c>
      <c r="E123" s="35">
        <v>45583</v>
      </c>
      <c r="F123" s="40"/>
      <c r="G123" s="40"/>
      <c r="H123" s="5"/>
      <c r="I123" s="102">
        <f>56.5/30*66*0.5</f>
        <v>62.15</v>
      </c>
      <c r="J123" s="40">
        <v>75</v>
      </c>
      <c r="K123" s="40"/>
      <c r="L123" s="6">
        <v>121.8</v>
      </c>
      <c r="M123" s="6">
        <v>47.5</v>
      </c>
      <c r="N123" s="59">
        <f t="shared" si="2"/>
        <v>52.01</v>
      </c>
    </row>
    <row r="124" spans="1:14">
      <c r="A124" s="44" t="s">
        <v>390</v>
      </c>
      <c r="B124" s="44"/>
      <c r="C124" s="35"/>
      <c r="D124" s="35">
        <v>45573</v>
      </c>
      <c r="E124" s="35">
        <v>45621</v>
      </c>
      <c r="F124" s="40"/>
      <c r="G124" s="40"/>
      <c r="H124" s="5">
        <v>16.940000000000001</v>
      </c>
      <c r="I124" s="102">
        <f>47.5/30*47</f>
        <v>74.416666666666657</v>
      </c>
      <c r="J124" s="40">
        <v>60</v>
      </c>
      <c r="K124" s="40"/>
      <c r="L124" s="6">
        <v>130</v>
      </c>
      <c r="M124" s="6">
        <v>63.5</v>
      </c>
      <c r="N124" s="59">
        <f>(L124-M124)*0.7</f>
        <v>46.55</v>
      </c>
    </row>
    <row r="125" spans="1:14">
      <c r="A125" s="44" t="s">
        <v>406</v>
      </c>
      <c r="B125" s="44"/>
      <c r="C125" s="35">
        <v>45624</v>
      </c>
      <c r="D125" s="35">
        <v>45631</v>
      </c>
      <c r="E125" s="35">
        <v>45631</v>
      </c>
      <c r="F125" s="40"/>
      <c r="G125" s="40"/>
      <c r="H125" s="5">
        <v>13.98</v>
      </c>
      <c r="I125" s="102"/>
      <c r="J125" s="40">
        <v>15</v>
      </c>
      <c r="K125" s="40"/>
      <c r="L125" s="6">
        <v>59</v>
      </c>
      <c r="M125" s="6">
        <v>38</v>
      </c>
      <c r="N125" s="59">
        <f>(L125-M125)*0.7</f>
        <v>14.7</v>
      </c>
    </row>
    <row r="126" spans="1:14">
      <c r="A126" s="44" t="s">
        <v>410</v>
      </c>
      <c r="B126" s="44"/>
      <c r="C126" s="35"/>
      <c r="D126" s="35"/>
      <c r="E126" s="35">
        <v>45613</v>
      </c>
      <c r="F126" s="40"/>
      <c r="G126" s="40"/>
      <c r="H126" s="5">
        <v>10</v>
      </c>
      <c r="I126" s="102">
        <f>-(14*14+14/30*13)</f>
        <v>-202.06666666666666</v>
      </c>
      <c r="J126" s="40">
        <v>15</v>
      </c>
      <c r="K126" s="40"/>
      <c r="L126" s="6">
        <v>30</v>
      </c>
      <c r="M126" s="6">
        <v>10</v>
      </c>
      <c r="N126" s="59">
        <f t="shared" ref="N126:N131" si="3">(L126-M126)*0.7</f>
        <v>14</v>
      </c>
    </row>
    <row r="127" spans="1:14">
      <c r="A127" s="44" t="s">
        <v>402</v>
      </c>
      <c r="B127" s="44"/>
      <c r="C127" s="35"/>
      <c r="D127" s="35">
        <v>45637</v>
      </c>
      <c r="E127" s="35">
        <v>45698</v>
      </c>
      <c r="F127" s="40"/>
      <c r="G127" s="40"/>
      <c r="H127" s="5">
        <v>13.98</v>
      </c>
      <c r="I127" s="102">
        <f>45/30*59</f>
        <v>88.5</v>
      </c>
      <c r="J127" s="40">
        <v>30</v>
      </c>
      <c r="K127" s="40"/>
      <c r="L127" s="6">
        <v>120</v>
      </c>
      <c r="M127" s="6">
        <v>45</v>
      </c>
      <c r="N127" s="59">
        <f t="shared" si="3"/>
        <v>52.5</v>
      </c>
    </row>
    <row r="128" spans="1:14">
      <c r="A128" s="44" t="s">
        <v>392</v>
      </c>
      <c r="B128" s="44"/>
      <c r="C128" s="35"/>
      <c r="D128" s="35"/>
      <c r="E128" s="35">
        <v>45694</v>
      </c>
      <c r="F128" s="40"/>
      <c r="G128" s="40"/>
      <c r="H128" s="5">
        <v>31.89</v>
      </c>
      <c r="I128" s="102" t="s">
        <v>414</v>
      </c>
      <c r="J128" s="40">
        <v>75</v>
      </c>
      <c r="K128" s="40"/>
      <c r="L128" s="6">
        <v>145</v>
      </c>
      <c r="M128" s="6">
        <v>72</v>
      </c>
      <c r="N128" s="59">
        <f t="shared" si="3"/>
        <v>51.099999999999994</v>
      </c>
    </row>
    <row r="129" spans="1:14">
      <c r="A129" s="44" t="s">
        <v>413</v>
      </c>
      <c r="B129" s="44"/>
      <c r="C129" s="35"/>
      <c r="D129" s="35"/>
      <c r="E129" s="35">
        <v>45730</v>
      </c>
      <c r="F129" s="40"/>
      <c r="G129" s="40"/>
      <c r="H129" s="5">
        <v>15.34</v>
      </c>
      <c r="I129" s="102"/>
      <c r="J129" s="40"/>
      <c r="K129" s="40"/>
      <c r="L129" s="6">
        <v>80</v>
      </c>
      <c r="M129" s="6">
        <v>28</v>
      </c>
      <c r="N129" s="59">
        <f t="shared" si="3"/>
        <v>36.4</v>
      </c>
    </row>
    <row r="130" spans="1:14">
      <c r="A130" s="44" t="s">
        <v>418</v>
      </c>
      <c r="B130" s="44"/>
      <c r="C130" s="35"/>
      <c r="D130" s="35"/>
      <c r="E130" s="35">
        <v>45737</v>
      </c>
      <c r="F130" s="40"/>
      <c r="G130" s="40"/>
      <c r="H130" s="5">
        <v>32.17</v>
      </c>
      <c r="I130" s="102"/>
      <c r="J130" s="40">
        <v>90</v>
      </c>
      <c r="K130" s="40"/>
      <c r="L130" s="6">
        <v>150</v>
      </c>
      <c r="M130" s="6">
        <v>43</v>
      </c>
      <c r="N130" s="59">
        <f t="shared" si="3"/>
        <v>74.899999999999991</v>
      </c>
    </row>
    <row r="131" spans="1:14">
      <c r="A131" s="44" t="s">
        <v>417</v>
      </c>
      <c r="B131" s="44"/>
      <c r="C131" s="35"/>
      <c r="D131" s="35"/>
      <c r="E131" s="35">
        <v>45687</v>
      </c>
      <c r="F131" s="40"/>
      <c r="G131" s="40"/>
      <c r="H131" s="5"/>
      <c r="I131" s="102"/>
      <c r="J131" s="40">
        <v>40</v>
      </c>
      <c r="K131" s="40"/>
      <c r="L131" s="6">
        <v>59</v>
      </c>
      <c r="M131" s="6">
        <v>43</v>
      </c>
      <c r="N131" s="59">
        <f t="shared" si="3"/>
        <v>11.2</v>
      </c>
    </row>
    <row r="132" spans="1:14">
      <c r="A132" s="44" t="s">
        <v>423</v>
      </c>
      <c r="B132" s="44"/>
      <c r="C132" s="35"/>
      <c r="D132" s="35"/>
      <c r="E132" s="35">
        <v>45714</v>
      </c>
      <c r="F132" s="40"/>
      <c r="G132" s="40"/>
      <c r="H132" s="5"/>
      <c r="I132" s="102"/>
      <c r="J132" s="40"/>
      <c r="K132" s="40"/>
      <c r="L132" s="6">
        <v>50</v>
      </c>
      <c r="M132" s="6">
        <v>41</v>
      </c>
      <c r="N132" s="59">
        <f t="shared" ref="N132:N137" si="4">(L132-M132)*0.7</f>
        <v>6.3</v>
      </c>
    </row>
    <row r="133" spans="1:14">
      <c r="A133" s="44" t="s">
        <v>424</v>
      </c>
      <c r="B133" s="44"/>
      <c r="C133" s="35"/>
      <c r="D133" s="35"/>
      <c r="E133" s="35">
        <v>45750</v>
      </c>
      <c r="F133" s="40"/>
      <c r="G133" s="40"/>
      <c r="H133" s="5">
        <v>15.34</v>
      </c>
      <c r="I133" s="102"/>
      <c r="J133" s="40">
        <v>30</v>
      </c>
      <c r="K133" s="40"/>
      <c r="L133" s="6">
        <v>45</v>
      </c>
      <c r="M133" s="6">
        <v>7</v>
      </c>
      <c r="N133" s="59">
        <f t="shared" si="4"/>
        <v>26.599999999999998</v>
      </c>
    </row>
    <row r="134" spans="1:14">
      <c r="A134" s="44" t="s">
        <v>425</v>
      </c>
      <c r="B134" s="44"/>
      <c r="C134" s="35"/>
      <c r="D134" s="35"/>
      <c r="E134" s="35">
        <v>45765</v>
      </c>
      <c r="F134" s="40"/>
      <c r="G134" s="40"/>
      <c r="H134" s="5">
        <v>14.54</v>
      </c>
      <c r="I134" s="102"/>
      <c r="J134" s="40"/>
      <c r="K134" s="40"/>
      <c r="L134" s="6">
        <v>220</v>
      </c>
      <c r="M134" s="6">
        <v>99</v>
      </c>
      <c r="N134" s="59">
        <f t="shared" si="4"/>
        <v>84.699999999999989</v>
      </c>
    </row>
    <row r="135" spans="1:14">
      <c r="A135" s="44" t="s">
        <v>441</v>
      </c>
      <c r="B135" s="44"/>
      <c r="C135" s="35"/>
      <c r="D135" s="35"/>
      <c r="E135" s="35">
        <v>45853</v>
      </c>
      <c r="F135" s="40"/>
      <c r="G135" s="40"/>
      <c r="H135" s="5">
        <v>12.44</v>
      </c>
      <c r="I135" s="102"/>
      <c r="J135" s="40"/>
      <c r="K135" s="40"/>
      <c r="L135" s="6">
        <v>59</v>
      </c>
      <c r="M135" s="6">
        <v>38</v>
      </c>
      <c r="N135" s="59">
        <f t="shared" si="4"/>
        <v>14.7</v>
      </c>
    </row>
    <row r="136" spans="1:14">
      <c r="A136" s="44" t="s">
        <v>408</v>
      </c>
      <c r="B136" s="44"/>
      <c r="C136" s="35"/>
      <c r="D136" s="35"/>
      <c r="E136" s="35"/>
      <c r="F136" s="40"/>
      <c r="G136" s="40"/>
      <c r="H136" s="5"/>
      <c r="I136" s="102"/>
      <c r="J136" s="40"/>
      <c r="K136" s="40"/>
      <c r="L136" s="6">
        <v>69</v>
      </c>
      <c r="M136" s="6">
        <v>38</v>
      </c>
      <c r="N136" s="59">
        <f t="shared" si="4"/>
        <v>21.7</v>
      </c>
    </row>
    <row r="137" spans="1:14">
      <c r="A137" s="44" t="s">
        <v>462</v>
      </c>
      <c r="B137" s="44"/>
      <c r="C137" s="35"/>
      <c r="D137" s="35"/>
      <c r="E137" s="35"/>
      <c r="F137" s="40"/>
      <c r="G137" s="40"/>
      <c r="H137" s="5"/>
      <c r="I137" s="102"/>
      <c r="J137" s="40"/>
      <c r="K137" s="40"/>
      <c r="L137" s="6">
        <v>40</v>
      </c>
      <c r="M137" s="6">
        <v>7</v>
      </c>
      <c r="N137" s="59">
        <f t="shared" si="4"/>
        <v>23.099999999999998</v>
      </c>
    </row>
    <row r="138" spans="1:14">
      <c r="A138" s="10" t="s">
        <v>470</v>
      </c>
      <c r="B138" s="44"/>
      <c r="C138" s="35"/>
      <c r="D138" s="35"/>
      <c r="E138" s="35">
        <v>45875</v>
      </c>
      <c r="F138" s="40"/>
      <c r="G138" s="40"/>
      <c r="H138" s="5">
        <v>12.44</v>
      </c>
      <c r="I138" s="102"/>
      <c r="J138" s="40"/>
      <c r="K138" s="40"/>
      <c r="L138" s="6">
        <v>59</v>
      </c>
      <c r="M138" s="6">
        <v>38</v>
      </c>
      <c r="N138" s="59">
        <f>(L138-M138)*0.7/30*54</f>
        <v>26.46</v>
      </c>
    </row>
    <row r="139" spans="1:14">
      <c r="A139" s="10" t="s">
        <v>469</v>
      </c>
      <c r="B139" s="44"/>
      <c r="C139" s="35"/>
      <c r="D139" s="35"/>
      <c r="E139" s="35">
        <v>45875</v>
      </c>
      <c r="F139" s="40"/>
      <c r="G139" s="40"/>
      <c r="H139" s="5">
        <v>12.44</v>
      </c>
      <c r="I139" s="102"/>
      <c r="J139" s="40"/>
      <c r="K139" s="40"/>
      <c r="L139" s="6">
        <v>59</v>
      </c>
      <c r="M139" s="6">
        <v>38</v>
      </c>
      <c r="N139" s="59">
        <f>(L139-M139)*0.7/30*54</f>
        <v>26.46</v>
      </c>
    </row>
    <row r="140" spans="1:14">
      <c r="A140" s="10" t="s">
        <v>471</v>
      </c>
      <c r="B140" s="44"/>
      <c r="C140" s="35"/>
      <c r="D140" s="35"/>
      <c r="E140" s="35">
        <v>45908</v>
      </c>
      <c r="F140" s="40"/>
      <c r="G140" s="40"/>
      <c r="H140" s="5">
        <v>12.44</v>
      </c>
      <c r="I140" s="102"/>
      <c r="J140" s="40"/>
      <c r="K140" s="40"/>
      <c r="L140" s="6">
        <v>59</v>
      </c>
      <c r="M140" s="6">
        <v>38</v>
      </c>
      <c r="N140" s="59">
        <f>(L140-M140)*0.7/30*22</f>
        <v>10.78</v>
      </c>
    </row>
    <row r="141" spans="1:14">
      <c r="C141" s="36"/>
      <c r="D141" s="36"/>
      <c r="F141" s="28"/>
      <c r="G141" s="28"/>
      <c r="H141" s="30">
        <f>SUM(H138:H140)</f>
        <v>37.32</v>
      </c>
      <c r="I141" s="30"/>
      <c r="M141" s="62" t="s">
        <v>4</v>
      </c>
      <c r="N141" s="18">
        <f>SUM(N2:N138)</f>
        <v>4940.0499999999984</v>
      </c>
    </row>
    <row r="142" spans="1:14">
      <c r="C142" s="36"/>
      <c r="D142" s="36"/>
      <c r="F142" s="28"/>
      <c r="G142" s="28"/>
      <c r="H142" s="30"/>
      <c r="I142" s="104"/>
      <c r="M142" s="61" t="s">
        <v>251</v>
      </c>
      <c r="N142" s="6">
        <f>N141-H141+M168</f>
        <v>4007.0479999999984</v>
      </c>
    </row>
    <row r="143" spans="1:14">
      <c r="C143" s="36"/>
      <c r="D143" s="36"/>
      <c r="F143" s="28"/>
      <c r="G143" s="28"/>
      <c r="H143" s="30"/>
      <c r="I143" s="104"/>
      <c r="K143" t="s">
        <v>475</v>
      </c>
      <c r="M143" s="66">
        <v>-14.54</v>
      </c>
    </row>
    <row r="144" spans="1:14">
      <c r="K144" t="s">
        <v>472</v>
      </c>
      <c r="M144" s="1">
        <f>50*0.7</f>
        <v>35</v>
      </c>
    </row>
    <row r="145" spans="1:16">
      <c r="A145" s="28"/>
      <c r="B145" s="28"/>
      <c r="E145" s="15"/>
      <c r="F145" s="1"/>
      <c r="G145" s="1"/>
      <c r="H145" s="1"/>
      <c r="J145" s="1"/>
      <c r="K145" s="1" t="s">
        <v>468</v>
      </c>
      <c r="L145" s="1"/>
      <c r="M145" s="1">
        <f>50*0.7</f>
        <v>35</v>
      </c>
      <c r="N145" s="29"/>
    </row>
    <row r="146" spans="1:16">
      <c r="K146" t="s">
        <v>467</v>
      </c>
      <c r="L146" s="1"/>
      <c r="M146" s="1">
        <f>59*0.7</f>
        <v>41.3</v>
      </c>
    </row>
    <row r="147" spans="1:16">
      <c r="K147" t="s">
        <v>463</v>
      </c>
      <c r="L147" s="69"/>
      <c r="M147">
        <v>-41.4</v>
      </c>
      <c r="P147" s="42"/>
    </row>
    <row r="148" spans="1:16">
      <c r="K148" t="s">
        <v>464</v>
      </c>
      <c r="L148" s="1"/>
      <c r="M148" s="66">
        <v>-167.91</v>
      </c>
    </row>
    <row r="149" spans="1:16">
      <c r="K149" t="s">
        <v>476</v>
      </c>
      <c r="L149" s="1"/>
      <c r="M149" s="66">
        <v>-15</v>
      </c>
    </row>
    <row r="150" spans="1:16">
      <c r="K150" t="s">
        <v>465</v>
      </c>
      <c r="L150" s="1"/>
      <c r="M150" s="66">
        <v>-24</v>
      </c>
      <c r="N150" s="108"/>
      <c r="P150" s="42"/>
    </row>
    <row r="151" spans="1:16">
      <c r="K151" t="s">
        <v>466</v>
      </c>
      <c r="L151" s="1"/>
      <c r="M151" s="66">
        <v>-107</v>
      </c>
    </row>
    <row r="152" spans="1:16">
      <c r="K152" t="s">
        <v>473</v>
      </c>
      <c r="L152" s="1"/>
      <c r="M152" s="66">
        <f>97*1.9</f>
        <v>184.29999999999998</v>
      </c>
      <c r="N152" s="1"/>
      <c r="P152" s="42"/>
    </row>
    <row r="153" spans="1:16">
      <c r="K153" t="s">
        <v>474</v>
      </c>
      <c r="L153" s="1"/>
      <c r="M153" s="66">
        <f>-47.34*0.8</f>
        <v>-37.872000000000007</v>
      </c>
      <c r="N153" s="1"/>
      <c r="P153" s="42"/>
    </row>
    <row r="154" spans="1:16">
      <c r="K154" t="s">
        <v>477</v>
      </c>
      <c r="L154" s="1"/>
      <c r="M154" s="66">
        <v>-11.34</v>
      </c>
      <c r="N154" s="1"/>
      <c r="P154" s="42"/>
    </row>
    <row r="155" spans="1:16">
      <c r="K155" t="s">
        <v>478</v>
      </c>
      <c r="L155" s="1"/>
      <c r="M155" s="66">
        <v>-588.58000000000004</v>
      </c>
      <c r="N155" s="1"/>
      <c r="P155" s="42"/>
    </row>
    <row r="156" spans="1:16">
      <c r="K156" t="s">
        <v>479</v>
      </c>
      <c r="L156" s="1"/>
      <c r="M156" s="66">
        <v>-24.6</v>
      </c>
      <c r="N156" s="1"/>
      <c r="P156" s="42"/>
    </row>
    <row r="157" spans="1:16">
      <c r="K157" t="s">
        <v>480</v>
      </c>
      <c r="L157" s="1"/>
      <c r="M157" s="66">
        <v>-12</v>
      </c>
      <c r="N157" s="1"/>
      <c r="P157" s="42"/>
    </row>
    <row r="158" spans="1:16">
      <c r="K158" t="s">
        <v>482</v>
      </c>
      <c r="L158" s="1"/>
      <c r="M158" s="66">
        <v>-13.6</v>
      </c>
    </row>
    <row r="159" spans="1:16">
      <c r="K159" t="s">
        <v>483</v>
      </c>
      <c r="L159" s="1"/>
      <c r="M159" s="66">
        <v>-13.6</v>
      </c>
    </row>
    <row r="160" spans="1:16">
      <c r="K160">
        <v>972195426</v>
      </c>
      <c r="M160" s="66">
        <v>-18.2</v>
      </c>
    </row>
    <row r="161" spans="11:13">
      <c r="K161">
        <v>972195430</v>
      </c>
      <c r="M161" s="66">
        <v>-18.2</v>
      </c>
    </row>
    <row r="162" spans="11:13">
      <c r="K162">
        <v>972195435</v>
      </c>
      <c r="M162" s="66">
        <v>-18.2</v>
      </c>
    </row>
    <row r="163" spans="11:13">
      <c r="K163" t="s">
        <v>484</v>
      </c>
      <c r="M163" s="66">
        <v>-18.2</v>
      </c>
    </row>
    <row r="164" spans="11:13">
      <c r="K164" t="s">
        <v>485</v>
      </c>
      <c r="M164" s="66">
        <v>-11.76</v>
      </c>
    </row>
    <row r="165" spans="11:13">
      <c r="K165" t="s">
        <v>486</v>
      </c>
      <c r="M165" s="66">
        <v>-11.76</v>
      </c>
    </row>
    <row r="166" spans="11:13">
      <c r="K166" t="s">
        <v>487</v>
      </c>
      <c r="M166" s="66">
        <v>-11.76</v>
      </c>
    </row>
    <row r="167" spans="11:13">
      <c r="K167" t="s">
        <v>488</v>
      </c>
      <c r="M167" s="66">
        <v>-11.76</v>
      </c>
    </row>
    <row r="168" spans="11:13">
      <c r="M168" s="66">
        <f>SUM(M143:M167)</f>
        <v>-895.68200000000036</v>
      </c>
    </row>
  </sheetData>
  <autoFilter ref="A1:P142">
    <sortState ref="A2:P86">
      <sortCondition ref="B1:B86"/>
    </sortState>
  </autoFilter>
  <pageMargins left="0.7" right="0.7" top="0.75" bottom="0.75" header="0.3" footer="0.3"/>
  <pageSetup paperSize="9" orientation="portrait" r:id="rId1"/>
</worksheet>
</file>

<file path=xl/worksheets/sheet102.xml><?xml version="1.0" encoding="utf-8"?>
<worksheet xmlns="http://schemas.openxmlformats.org/spreadsheetml/2006/main" xmlns:r="http://schemas.openxmlformats.org/officeDocument/2006/relationships">
  <dimension ref="A1:P164"/>
  <sheetViews>
    <sheetView topLeftCell="B141" workbookViewId="0">
      <selection activeCell="M158" sqref="M158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30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45</v>
      </c>
      <c r="M3" s="61">
        <v>25</v>
      </c>
      <c r="N3" s="6">
        <f t="shared" si="0"/>
        <v>14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90</v>
      </c>
      <c r="M8" s="61">
        <v>25</v>
      </c>
      <c r="N8" s="6">
        <f t="shared" si="0"/>
        <v>45.5</v>
      </c>
    </row>
    <row r="9" spans="1:15">
      <c r="A9" s="2" t="s">
        <v>27</v>
      </c>
      <c r="B9" s="2"/>
      <c r="C9" s="4">
        <v>42656</v>
      </c>
      <c r="D9" s="4"/>
      <c r="E9" s="4">
        <v>42705</v>
      </c>
      <c r="F9" s="5"/>
      <c r="G9" s="49"/>
      <c r="H9" s="5">
        <v>8.17</v>
      </c>
      <c r="I9" s="102">
        <f>M9/30*47</f>
        <v>39.166666666666671</v>
      </c>
      <c r="J9" s="5"/>
      <c r="K9" s="5"/>
      <c r="L9" s="6">
        <v>40</v>
      </c>
      <c r="M9" s="62">
        <v>25</v>
      </c>
      <c r="N9" s="18">
        <f t="shared" si="0"/>
        <v>10.5</v>
      </c>
    </row>
    <row r="10" spans="1:15">
      <c r="A10" s="2" t="s">
        <v>29</v>
      </c>
      <c r="B10" s="2"/>
      <c r="C10" s="4">
        <v>42683</v>
      </c>
      <c r="D10" s="4"/>
      <c r="E10" s="4">
        <v>42718</v>
      </c>
      <c r="F10" s="5"/>
      <c r="G10" s="49"/>
      <c r="H10" s="5">
        <v>8.9700000000000006</v>
      </c>
      <c r="I10" s="102">
        <f>M10/30*35</f>
        <v>42</v>
      </c>
      <c r="J10" s="5"/>
      <c r="K10" s="5"/>
      <c r="L10" s="6">
        <f>105</f>
        <v>105</v>
      </c>
      <c r="M10" s="62">
        <v>36</v>
      </c>
      <c r="N10" s="18">
        <f t="shared" si="0"/>
        <v>48.3</v>
      </c>
    </row>
    <row r="11" spans="1:15">
      <c r="A11" s="2" t="s">
        <v>28</v>
      </c>
      <c r="B11" s="2"/>
      <c r="C11" s="4">
        <v>42711</v>
      </c>
      <c r="D11" s="4"/>
      <c r="E11" s="4">
        <v>42734</v>
      </c>
      <c r="F11" s="5"/>
      <c r="G11" s="49"/>
      <c r="H11" s="5">
        <v>8.17</v>
      </c>
      <c r="I11" s="102">
        <f>M11/30*23</f>
        <v>19.166666666666668</v>
      </c>
      <c r="J11" s="5"/>
      <c r="K11" s="5"/>
      <c r="L11" s="6">
        <v>40</v>
      </c>
      <c r="M11" s="62">
        <v>25</v>
      </c>
      <c r="N11" s="18">
        <f t="shared" si="0"/>
        <v>10.5</v>
      </c>
    </row>
    <row r="12" spans="1:15">
      <c r="A12" s="2" t="s">
        <v>31</v>
      </c>
      <c r="B12" s="2"/>
      <c r="C12" s="4">
        <v>42735</v>
      </c>
      <c r="D12" s="4"/>
      <c r="E12" s="4">
        <v>42782</v>
      </c>
      <c r="F12" s="5">
        <v>50</v>
      </c>
      <c r="G12" s="49"/>
      <c r="H12" s="5">
        <v>20.63</v>
      </c>
      <c r="I12" s="102">
        <f>M12/30*46</f>
        <v>42.933333333333337</v>
      </c>
      <c r="J12" s="5"/>
      <c r="K12" s="5"/>
      <c r="L12" s="6">
        <v>92</v>
      </c>
      <c r="M12" s="61">
        <v>28</v>
      </c>
      <c r="N12" s="6">
        <f t="shared" si="0"/>
        <v>44.8</v>
      </c>
    </row>
    <row r="13" spans="1:15">
      <c r="A13" s="2" t="s">
        <v>32</v>
      </c>
      <c r="B13" s="2"/>
      <c r="C13" s="4">
        <v>42857</v>
      </c>
      <c r="D13" s="4"/>
      <c r="E13" s="4">
        <v>42866</v>
      </c>
      <c r="F13" s="5"/>
      <c r="G13" s="49"/>
      <c r="H13" s="5"/>
      <c r="I13" s="102">
        <f>23/30*9</f>
        <v>6.9</v>
      </c>
      <c r="J13" s="5">
        <f>60*0.7</f>
        <v>42</v>
      </c>
      <c r="K13" s="5"/>
      <c r="L13" s="6">
        <v>60</v>
      </c>
      <c r="M13" s="61">
        <v>23</v>
      </c>
      <c r="N13" s="6">
        <f t="shared" si="0"/>
        <v>25.9</v>
      </c>
    </row>
    <row r="14" spans="1:15">
      <c r="A14" s="2" t="s">
        <v>37</v>
      </c>
      <c r="B14" s="2"/>
      <c r="C14" s="4">
        <v>42891</v>
      </c>
      <c r="D14" s="4"/>
      <c r="E14" s="4">
        <v>42915</v>
      </c>
      <c r="F14" s="5"/>
      <c r="G14" s="49"/>
      <c r="H14" s="5">
        <v>6.83</v>
      </c>
      <c r="I14" s="102">
        <f>24/30*24</f>
        <v>19.200000000000003</v>
      </c>
      <c r="J14" s="5"/>
      <c r="K14" s="5"/>
      <c r="L14" s="6">
        <f>69+70</f>
        <v>139</v>
      </c>
      <c r="M14" s="61">
        <f>38+7+18</f>
        <v>63</v>
      </c>
      <c r="N14" s="6">
        <f t="shared" si="0"/>
        <v>53.199999999999996</v>
      </c>
    </row>
    <row r="15" spans="1:15">
      <c r="A15" s="2" t="s">
        <v>39</v>
      </c>
      <c r="B15" s="2"/>
      <c r="C15" s="4">
        <v>43081</v>
      </c>
      <c r="D15" s="4"/>
      <c r="E15" s="4">
        <v>43109</v>
      </c>
      <c r="F15" s="5"/>
      <c r="G15" s="49"/>
      <c r="H15" s="5">
        <v>9.83</v>
      </c>
      <c r="I15" s="102">
        <f>36/30*28</f>
        <v>33.6</v>
      </c>
      <c r="J15" s="5"/>
      <c r="K15" s="5"/>
      <c r="L15" s="6">
        <v>120</v>
      </c>
      <c r="M15" s="61">
        <v>36</v>
      </c>
      <c r="N15" s="6">
        <f t="shared" si="0"/>
        <v>58.8</v>
      </c>
    </row>
    <row r="16" spans="1:15">
      <c r="A16" s="22" t="s">
        <v>56</v>
      </c>
      <c r="B16" s="22"/>
      <c r="C16" s="4">
        <v>43361</v>
      </c>
      <c r="D16" s="4"/>
      <c r="E16" s="4">
        <v>43132</v>
      </c>
      <c r="F16" s="5"/>
      <c r="G16" s="49"/>
      <c r="H16" s="5">
        <v>14.11</v>
      </c>
      <c r="I16" s="102">
        <f>25*4+25/30*12</f>
        <v>110</v>
      </c>
      <c r="J16" s="5"/>
      <c r="K16" s="5"/>
      <c r="L16" s="6">
        <v>75</v>
      </c>
      <c r="M16" s="61">
        <v>25</v>
      </c>
      <c r="N16" s="6">
        <f t="shared" si="0"/>
        <v>35</v>
      </c>
    </row>
    <row r="17" spans="1:15">
      <c r="A17" s="2" t="s">
        <v>44</v>
      </c>
      <c r="B17" s="2"/>
      <c r="C17" s="4">
        <v>43196</v>
      </c>
      <c r="D17" s="4"/>
      <c r="E17" s="4">
        <v>43250</v>
      </c>
      <c r="F17" s="5"/>
      <c r="G17" s="49"/>
      <c r="H17" s="5">
        <v>13.78</v>
      </c>
      <c r="I17" s="102">
        <f>25*24/30+25</f>
        <v>45</v>
      </c>
      <c r="J17" s="5"/>
      <c r="K17" s="5"/>
      <c r="L17" s="6">
        <v>11</v>
      </c>
      <c r="M17" s="61">
        <v>25</v>
      </c>
      <c r="N17" s="6">
        <v>9.7999999999999989</v>
      </c>
    </row>
    <row r="18" spans="1:15">
      <c r="A18" s="22" t="s">
        <v>47</v>
      </c>
      <c r="B18" s="22"/>
      <c r="C18" s="4">
        <v>43355</v>
      </c>
      <c r="D18" s="4"/>
      <c r="E18" s="4">
        <v>43277</v>
      </c>
      <c r="F18" s="5"/>
      <c r="G18" s="49"/>
      <c r="H18" s="5">
        <v>19.98</v>
      </c>
      <c r="I18" s="102">
        <f>36*2+36/30*16</f>
        <v>91.2</v>
      </c>
      <c r="J18" s="5"/>
      <c r="K18" s="5"/>
      <c r="L18" s="6">
        <v>105</v>
      </c>
      <c r="M18" s="61">
        <v>36</v>
      </c>
      <c r="N18" s="6">
        <f t="shared" si="0"/>
        <v>48.3</v>
      </c>
    </row>
    <row r="19" spans="1:15">
      <c r="A19" s="22" t="s">
        <v>48</v>
      </c>
      <c r="B19" s="22"/>
      <c r="C19" s="4">
        <v>43367</v>
      </c>
      <c r="D19" s="4"/>
      <c r="E19" s="4">
        <v>43284</v>
      </c>
      <c r="F19" s="5"/>
      <c r="G19" s="49"/>
      <c r="H19" s="5">
        <v>9.1</v>
      </c>
      <c r="I19" s="102">
        <f>25+25/30*27</f>
        <v>47.5</v>
      </c>
      <c r="J19" s="5"/>
      <c r="K19" s="5"/>
      <c r="L19" s="6">
        <v>75</v>
      </c>
      <c r="M19" s="61">
        <v>25</v>
      </c>
      <c r="N19" s="6">
        <f t="shared" si="0"/>
        <v>35</v>
      </c>
    </row>
    <row r="20" spans="1:15">
      <c r="A20" s="2" t="s">
        <v>45</v>
      </c>
      <c r="B20" s="2"/>
      <c r="C20" s="4"/>
      <c r="D20" s="4"/>
      <c r="E20" s="4">
        <v>43286</v>
      </c>
      <c r="F20" s="5"/>
      <c r="G20" s="49"/>
      <c r="H20" s="5">
        <v>11.56</v>
      </c>
      <c r="I20" s="102"/>
      <c r="J20" s="5"/>
      <c r="K20" s="5"/>
      <c r="L20" s="6">
        <v>150</v>
      </c>
      <c r="M20" s="61">
        <v>76</v>
      </c>
      <c r="N20" s="6">
        <f t="shared" si="0"/>
        <v>51.8</v>
      </c>
      <c r="O20" s="20"/>
    </row>
    <row r="21" spans="1:15">
      <c r="A21" s="22" t="s">
        <v>49</v>
      </c>
      <c r="B21" s="22"/>
      <c r="C21" s="4">
        <v>43367</v>
      </c>
      <c r="D21" s="4"/>
      <c r="E21" s="4">
        <v>43291</v>
      </c>
      <c r="F21" s="5"/>
      <c r="G21" s="49"/>
      <c r="H21" s="5">
        <v>10.039999999999999</v>
      </c>
      <c r="I21" s="102">
        <f>50+25/30*14</f>
        <v>61.666666666666671</v>
      </c>
      <c r="J21" s="5"/>
      <c r="K21" s="5"/>
      <c r="L21" s="6">
        <v>50</v>
      </c>
      <c r="M21" s="61">
        <v>22</v>
      </c>
      <c r="N21" s="18">
        <f t="shared" si="0"/>
        <v>19.599999999999998</v>
      </c>
    </row>
    <row r="22" spans="1:15">
      <c r="A22" s="22" t="s">
        <v>51</v>
      </c>
      <c r="B22" s="22"/>
      <c r="C22" s="4">
        <v>43358</v>
      </c>
      <c r="D22" s="4"/>
      <c r="E22" s="4">
        <v>43291</v>
      </c>
      <c r="F22" s="5"/>
      <c r="G22" s="49"/>
      <c r="H22" s="5">
        <v>10.039999999999999</v>
      </c>
      <c r="I22" s="102">
        <f>50+25/30*5</f>
        <v>54.166666666666664</v>
      </c>
      <c r="J22" s="5"/>
      <c r="K22" s="5"/>
      <c r="L22" s="6">
        <v>75</v>
      </c>
      <c r="M22" s="61">
        <v>25</v>
      </c>
      <c r="N22" s="6">
        <f t="shared" si="0"/>
        <v>35</v>
      </c>
    </row>
    <row r="23" spans="1:15">
      <c r="A23" s="22" t="s">
        <v>52</v>
      </c>
      <c r="B23" s="22"/>
      <c r="C23" s="4">
        <v>43367</v>
      </c>
      <c r="D23" s="4"/>
      <c r="E23" s="4">
        <v>43308</v>
      </c>
      <c r="F23" s="5"/>
      <c r="G23" s="49"/>
      <c r="H23" s="5">
        <v>10.86</v>
      </c>
      <c r="I23" s="102">
        <f>25+25/30*27</f>
        <v>47.5</v>
      </c>
      <c r="J23" s="5"/>
      <c r="K23" s="5"/>
      <c r="L23" s="6">
        <v>75</v>
      </c>
      <c r="M23" s="61">
        <v>25</v>
      </c>
      <c r="N23" s="27">
        <f t="shared" si="0"/>
        <v>35</v>
      </c>
    </row>
    <row r="24" spans="1:15">
      <c r="A24" s="22" t="s">
        <v>50</v>
      </c>
      <c r="B24" s="22"/>
      <c r="C24" s="4">
        <v>43367</v>
      </c>
      <c r="D24" s="4"/>
      <c r="E24" s="4">
        <v>43312</v>
      </c>
      <c r="F24" s="5"/>
      <c r="G24" s="49"/>
      <c r="H24" s="5">
        <v>10.86</v>
      </c>
      <c r="I24" s="102">
        <f>25+25/30*24</f>
        <v>45</v>
      </c>
      <c r="J24" s="5"/>
      <c r="K24" s="5"/>
      <c r="L24" s="6">
        <v>70</v>
      </c>
      <c r="M24" s="61">
        <v>25</v>
      </c>
      <c r="N24" s="6">
        <f t="shared" si="0"/>
        <v>31.499999999999996</v>
      </c>
    </row>
    <row r="25" spans="1:15">
      <c r="A25" s="22" t="s">
        <v>55</v>
      </c>
      <c r="B25" s="22"/>
      <c r="C25" s="4">
        <v>43363</v>
      </c>
      <c r="D25" s="4"/>
      <c r="E25" s="4">
        <v>43440</v>
      </c>
      <c r="F25" s="5"/>
      <c r="G25" s="49"/>
      <c r="H25" s="5">
        <v>14.11</v>
      </c>
      <c r="I25" s="102">
        <f>25*2+25*16/30</f>
        <v>63.333333333333336</v>
      </c>
      <c r="J25" s="5"/>
      <c r="K25" s="5"/>
      <c r="L25" s="6">
        <v>75</v>
      </c>
      <c r="M25" s="61">
        <v>25</v>
      </c>
      <c r="N25" s="6">
        <f t="shared" si="0"/>
        <v>35</v>
      </c>
    </row>
    <row r="26" spans="1:15">
      <c r="A26" s="22" t="s">
        <v>54</v>
      </c>
      <c r="B26" s="22"/>
      <c r="C26" s="4">
        <v>43167</v>
      </c>
      <c r="D26" s="4"/>
      <c r="E26" s="4">
        <v>43455</v>
      </c>
      <c r="F26" s="5"/>
      <c r="G26" s="49"/>
      <c r="H26" s="5">
        <v>10.86</v>
      </c>
      <c r="I26" s="102">
        <f>9*25+25*13/30</f>
        <v>235.83333333333334</v>
      </c>
      <c r="J26" s="5"/>
      <c r="K26" s="5"/>
      <c r="L26" s="6">
        <v>90</v>
      </c>
      <c r="M26" s="61">
        <v>36</v>
      </c>
      <c r="N26" s="6">
        <f t="shared" si="0"/>
        <v>37.799999999999997</v>
      </c>
    </row>
    <row r="27" spans="1:15">
      <c r="A27" s="22" t="s">
        <v>57</v>
      </c>
      <c r="B27" s="55"/>
      <c r="C27" s="31">
        <v>43478</v>
      </c>
      <c r="D27" s="31"/>
      <c r="E27" s="4">
        <v>43536</v>
      </c>
      <c r="F27" s="5"/>
      <c r="G27" s="49"/>
      <c r="H27" s="5">
        <v>10.86</v>
      </c>
      <c r="I27" s="102">
        <v>25</v>
      </c>
      <c r="J27" s="5"/>
      <c r="K27" s="5"/>
      <c r="L27" s="6">
        <v>70</v>
      </c>
      <c r="M27" s="61">
        <v>25</v>
      </c>
      <c r="N27" s="6">
        <f t="shared" si="0"/>
        <v>31.499999999999996</v>
      </c>
    </row>
    <row r="28" spans="1:15">
      <c r="A28" s="22" t="s">
        <v>59</v>
      </c>
      <c r="B28" s="22"/>
      <c r="C28" s="4">
        <v>43528</v>
      </c>
      <c r="D28" s="4"/>
      <c r="E28" s="4">
        <v>43538</v>
      </c>
      <c r="F28" s="5"/>
      <c r="G28" s="49"/>
      <c r="H28" s="5">
        <v>14.92</v>
      </c>
      <c r="I28" s="102">
        <f>77/30*10</f>
        <v>25.666666666666668</v>
      </c>
      <c r="J28" s="5"/>
      <c r="K28" s="5"/>
      <c r="L28" s="6">
        <v>169</v>
      </c>
      <c r="M28" s="61">
        <f>64+11+2</f>
        <v>77</v>
      </c>
      <c r="N28" s="6">
        <f t="shared" si="0"/>
        <v>64.399999999999991</v>
      </c>
    </row>
    <row r="29" spans="1:15">
      <c r="A29" s="22" t="s">
        <v>58</v>
      </c>
      <c r="B29" s="22"/>
      <c r="C29" s="4">
        <v>43534</v>
      </c>
      <c r="D29" s="4"/>
      <c r="E29" s="4">
        <v>43542</v>
      </c>
      <c r="F29" s="5"/>
      <c r="G29" s="49"/>
      <c r="H29" s="5">
        <f>10.86*2</f>
        <v>21.72</v>
      </c>
      <c r="I29" s="102">
        <v>0</v>
      </c>
      <c r="J29" s="5"/>
      <c r="K29" s="5"/>
      <c r="L29" s="6">
        <v>30</v>
      </c>
      <c r="M29" s="61">
        <v>22</v>
      </c>
      <c r="N29" s="6">
        <v>18.899999999999999</v>
      </c>
    </row>
    <row r="30" spans="1:15">
      <c r="A30" s="22" t="s">
        <v>61</v>
      </c>
      <c r="B30" s="22"/>
      <c r="C30" s="4">
        <v>43482</v>
      </c>
      <c r="D30" s="4"/>
      <c r="E30" s="4">
        <v>43542</v>
      </c>
      <c r="F30" s="5"/>
      <c r="G30" s="49"/>
      <c r="H30" s="5">
        <v>11.1</v>
      </c>
      <c r="I30" s="102">
        <f>25*2</f>
        <v>50</v>
      </c>
      <c r="J30" s="5"/>
      <c r="K30" s="5"/>
      <c r="L30" s="6">
        <v>70</v>
      </c>
      <c r="M30" s="61">
        <v>26</v>
      </c>
      <c r="N30" s="6">
        <f t="shared" si="0"/>
        <v>30.799999999999997</v>
      </c>
    </row>
    <row r="31" spans="1:15">
      <c r="A31" s="22" t="s">
        <v>67</v>
      </c>
      <c r="B31" s="22"/>
      <c r="C31" s="4">
        <v>43600</v>
      </c>
      <c r="D31" s="4"/>
      <c r="E31" s="4">
        <v>43629</v>
      </c>
      <c r="F31" s="5"/>
      <c r="G31" s="49"/>
      <c r="H31" s="5">
        <f>10.86*2</f>
        <v>21.72</v>
      </c>
      <c r="I31" s="102">
        <f>22/30*58</f>
        <v>42.533333333333331</v>
      </c>
      <c r="J31" s="5">
        <v>50</v>
      </c>
      <c r="K31" s="5">
        <f>H31+I31+J31</f>
        <v>114.25333333333333</v>
      </c>
      <c r="L31" s="6">
        <v>60</v>
      </c>
      <c r="M31" s="61">
        <v>25</v>
      </c>
      <c r="N31" s="6">
        <v>0</v>
      </c>
    </row>
    <row r="32" spans="1:15">
      <c r="A32" s="22" t="s">
        <v>66</v>
      </c>
      <c r="B32" s="22"/>
      <c r="C32" s="4">
        <v>43600</v>
      </c>
      <c r="D32" s="4"/>
      <c r="E32" s="4">
        <v>43629</v>
      </c>
      <c r="F32" s="5"/>
      <c r="G32" s="49"/>
      <c r="H32" s="5">
        <f>10.86</f>
        <v>10.86</v>
      </c>
      <c r="I32" s="102">
        <f>39/30*58</f>
        <v>75.400000000000006</v>
      </c>
      <c r="J32" s="5"/>
      <c r="K32" s="5">
        <f>H32+I32</f>
        <v>86.26</v>
      </c>
      <c r="L32" s="6">
        <v>110</v>
      </c>
      <c r="M32" s="61">
        <f>25+11+3</f>
        <v>39</v>
      </c>
      <c r="N32" s="6">
        <v>0</v>
      </c>
      <c r="O32" t="s">
        <v>73</v>
      </c>
    </row>
    <row r="33" spans="1:16">
      <c r="A33" s="22" t="s">
        <v>64</v>
      </c>
      <c r="B33" s="22"/>
      <c r="C33" s="4">
        <v>43627</v>
      </c>
      <c r="D33" s="4"/>
      <c r="E33" s="4">
        <v>43629</v>
      </c>
      <c r="F33" s="5"/>
      <c r="G33" s="49"/>
      <c r="H33" s="5">
        <v>10.86</v>
      </c>
      <c r="I33" s="102">
        <f>25/30*2</f>
        <v>1.6666666666666667</v>
      </c>
      <c r="J33" s="5"/>
      <c r="K33" s="5">
        <f>H33+I33</f>
        <v>12.526666666666666</v>
      </c>
      <c r="L33" s="6">
        <v>200</v>
      </c>
      <c r="M33" s="61">
        <v>11</v>
      </c>
      <c r="N33" s="5">
        <f t="shared" ref="N33:N44" si="1">(L33-M33)*0.7</f>
        <v>132.29999999999998</v>
      </c>
    </row>
    <row r="34" spans="1:16">
      <c r="A34" s="22" t="s">
        <v>65</v>
      </c>
      <c r="B34" s="22"/>
      <c r="C34" s="4">
        <v>43622</v>
      </c>
      <c r="D34" s="4"/>
      <c r="E34" s="4">
        <v>43650</v>
      </c>
      <c r="F34" s="5"/>
      <c r="G34" s="49"/>
      <c r="H34" s="5">
        <v>10.86</v>
      </c>
      <c r="I34" s="102"/>
      <c r="J34" s="5"/>
      <c r="K34" s="5"/>
      <c r="L34" s="6">
        <v>120</v>
      </c>
      <c r="M34" s="61">
        <v>60</v>
      </c>
      <c r="N34" s="6">
        <f t="shared" si="1"/>
        <v>42</v>
      </c>
    </row>
    <row r="35" spans="1:16">
      <c r="A35" s="22" t="s">
        <v>71</v>
      </c>
      <c r="B35" s="22"/>
      <c r="C35" s="4">
        <v>43635</v>
      </c>
      <c r="D35" s="4"/>
      <c r="E35" s="4">
        <v>43662</v>
      </c>
      <c r="F35" s="5"/>
      <c r="G35" s="49"/>
      <c r="H35" s="5">
        <f>10.86*2</f>
        <v>21.72</v>
      </c>
      <c r="I35" s="102"/>
      <c r="J35" s="5"/>
      <c r="K35" s="5"/>
      <c r="L35" s="6">
        <v>70</v>
      </c>
      <c r="M35" s="61">
        <v>26</v>
      </c>
      <c r="N35" s="6">
        <f t="shared" si="1"/>
        <v>30.799999999999997</v>
      </c>
      <c r="O35" t="s">
        <v>72</v>
      </c>
    </row>
    <row r="36" spans="1:16">
      <c r="A36" s="2" t="s">
        <v>75</v>
      </c>
      <c r="B36" s="2"/>
      <c r="C36" s="4">
        <v>43656</v>
      </c>
      <c r="D36" s="4"/>
      <c r="E36" s="4">
        <v>43711</v>
      </c>
      <c r="F36" s="5"/>
      <c r="G36" s="49"/>
      <c r="H36" s="5">
        <v>10.86</v>
      </c>
      <c r="I36" s="102">
        <f>36/30*48</f>
        <v>57.599999999999994</v>
      </c>
      <c r="J36" s="5"/>
      <c r="K36" s="5"/>
      <c r="L36" s="6">
        <v>145</v>
      </c>
      <c r="M36" s="61">
        <f>36+18</f>
        <v>54</v>
      </c>
      <c r="N36" s="6">
        <f t="shared" si="1"/>
        <v>63.699999999999996</v>
      </c>
    </row>
    <row r="37" spans="1:16">
      <c r="A37" s="2" t="s">
        <v>76</v>
      </c>
      <c r="B37" s="2"/>
      <c r="C37" s="4">
        <v>43677</v>
      </c>
      <c r="D37" s="4"/>
      <c r="E37" s="4">
        <v>43713</v>
      </c>
      <c r="F37" s="5"/>
      <c r="G37" s="49"/>
      <c r="H37" s="5">
        <v>24.06</v>
      </c>
      <c r="I37" s="102">
        <f>80/30*35</f>
        <v>93.333333333333329</v>
      </c>
      <c r="J37" s="5">
        <v>40</v>
      </c>
      <c r="K37" s="5"/>
      <c r="L37" s="6">
        <v>149</v>
      </c>
      <c r="M37" s="61">
        <v>80</v>
      </c>
      <c r="N37" s="6">
        <f t="shared" si="1"/>
        <v>48.3</v>
      </c>
      <c r="O37" t="s">
        <v>79</v>
      </c>
    </row>
    <row r="38" spans="1:16">
      <c r="A38" s="10" t="s">
        <v>81</v>
      </c>
      <c r="B38" s="10"/>
      <c r="C38" s="11">
        <v>45444</v>
      </c>
      <c r="D38" s="11"/>
      <c r="E38" s="11">
        <v>45408</v>
      </c>
      <c r="F38" s="12"/>
      <c r="G38" s="12"/>
      <c r="H38" s="12"/>
      <c r="I38" s="106">
        <f>43/30*34</f>
        <v>48.733333333333334</v>
      </c>
      <c r="J38" s="12"/>
      <c r="K38" s="12"/>
      <c r="L38" s="12">
        <v>129</v>
      </c>
      <c r="M38" s="107">
        <v>61</v>
      </c>
      <c r="N38" s="12">
        <f t="shared" si="1"/>
        <v>47.599999999999994</v>
      </c>
    </row>
    <row r="39" spans="1:16">
      <c r="A39" s="22" t="s">
        <v>87</v>
      </c>
      <c r="B39" s="22"/>
      <c r="C39" s="35">
        <v>43878</v>
      </c>
      <c r="D39" s="35"/>
      <c r="E39" s="35">
        <v>43892</v>
      </c>
      <c r="F39" s="5"/>
      <c r="G39" s="49"/>
      <c r="H39" s="5">
        <v>12.19</v>
      </c>
      <c r="I39" s="102">
        <v>5.5</v>
      </c>
      <c r="J39" s="5"/>
      <c r="K39" s="5"/>
      <c r="L39" s="6">
        <v>25</v>
      </c>
      <c r="M39" s="61">
        <v>11</v>
      </c>
      <c r="N39" s="6">
        <f t="shared" si="1"/>
        <v>9.7999999999999989</v>
      </c>
    </row>
    <row r="40" spans="1:16">
      <c r="A40" s="22" t="s">
        <v>89</v>
      </c>
      <c r="B40" s="22"/>
      <c r="C40" s="35">
        <v>43908</v>
      </c>
      <c r="D40" s="35"/>
      <c r="E40" s="35">
        <v>43893</v>
      </c>
      <c r="F40" s="5"/>
      <c r="G40" s="49"/>
      <c r="H40" s="5">
        <v>9.6</v>
      </c>
      <c r="I40" s="102">
        <v>5.5</v>
      </c>
      <c r="J40" s="5"/>
      <c r="K40" s="5"/>
      <c r="L40" s="6">
        <v>25</v>
      </c>
      <c r="M40" s="61">
        <v>11</v>
      </c>
      <c r="N40" s="6">
        <f t="shared" si="1"/>
        <v>9.7999999999999989</v>
      </c>
    </row>
    <row r="41" spans="1:16">
      <c r="A41" s="22" t="s">
        <v>85</v>
      </c>
      <c r="B41" s="22"/>
      <c r="C41" s="35">
        <v>43881</v>
      </c>
      <c r="D41" s="35"/>
      <c r="E41" s="35">
        <v>43895</v>
      </c>
      <c r="F41" s="5"/>
      <c r="G41" s="49"/>
      <c r="H41" s="5">
        <v>9.14</v>
      </c>
      <c r="I41" s="102">
        <f>11/30*15</f>
        <v>5.5</v>
      </c>
      <c r="J41" s="5"/>
      <c r="K41" s="5"/>
      <c r="L41" s="6">
        <v>25</v>
      </c>
      <c r="M41" s="61">
        <v>11</v>
      </c>
      <c r="N41" s="6">
        <f t="shared" si="1"/>
        <v>9.7999999999999989</v>
      </c>
    </row>
    <row r="42" spans="1:16">
      <c r="A42" s="39" t="s">
        <v>82</v>
      </c>
      <c r="B42" s="28"/>
      <c r="C42" s="36">
        <v>40235</v>
      </c>
      <c r="D42" s="36"/>
      <c r="E42" s="36">
        <v>43901</v>
      </c>
      <c r="F42" s="5"/>
      <c r="G42" s="34"/>
      <c r="H42" s="37">
        <v>9.6</v>
      </c>
      <c r="I42" s="102">
        <f>11/2</f>
        <v>5.5</v>
      </c>
      <c r="J42" s="5"/>
      <c r="K42" s="5"/>
      <c r="L42" s="17">
        <v>25</v>
      </c>
      <c r="M42" s="63">
        <v>11</v>
      </c>
      <c r="N42" s="26">
        <f t="shared" si="1"/>
        <v>9.7999999999999989</v>
      </c>
    </row>
    <row r="43" spans="1:16">
      <c r="A43" s="22" t="s">
        <v>80</v>
      </c>
      <c r="B43" s="22"/>
      <c r="C43" s="35">
        <v>43873</v>
      </c>
      <c r="D43" s="35"/>
      <c r="E43" s="35">
        <v>43910</v>
      </c>
      <c r="F43" s="5"/>
      <c r="G43" s="49"/>
      <c r="H43" s="5">
        <v>21.84</v>
      </c>
      <c r="I43" s="102">
        <f>56/30*38</f>
        <v>70.933333333333337</v>
      </c>
      <c r="J43" s="5"/>
      <c r="K43" s="5"/>
      <c r="L43" s="6">
        <v>80</v>
      </c>
      <c r="M43" s="61">
        <v>47</v>
      </c>
      <c r="N43" s="6">
        <f t="shared" si="1"/>
        <v>23.099999999999998</v>
      </c>
    </row>
    <row r="44" spans="1:16">
      <c r="A44" s="22" t="s">
        <v>88</v>
      </c>
      <c r="B44" s="22"/>
      <c r="C44" s="35">
        <v>43855</v>
      </c>
      <c r="D44" s="35"/>
      <c r="E44" s="35">
        <v>43941</v>
      </c>
      <c r="F44" s="5"/>
      <c r="G44" s="49"/>
      <c r="H44" s="5">
        <v>13.93</v>
      </c>
      <c r="I44" s="102">
        <f>56/30*85</f>
        <v>158.66666666666666</v>
      </c>
      <c r="J44" s="5"/>
      <c r="K44" s="5"/>
      <c r="L44" s="6">
        <v>110</v>
      </c>
      <c r="M44" s="61">
        <v>56</v>
      </c>
      <c r="N44" s="6">
        <f t="shared" si="1"/>
        <v>37.799999999999997</v>
      </c>
    </row>
    <row r="45" spans="1:16">
      <c r="A45" s="22" t="s">
        <v>90</v>
      </c>
      <c r="B45" s="22"/>
      <c r="C45" s="35" t="s">
        <v>96</v>
      </c>
      <c r="D45" s="35"/>
      <c r="E45" s="35">
        <v>44015</v>
      </c>
      <c r="F45" s="5" t="s">
        <v>160</v>
      </c>
      <c r="G45" s="49">
        <v>12.5</v>
      </c>
      <c r="H45" s="5">
        <v>11.29</v>
      </c>
      <c r="I45" s="102">
        <f>100</f>
        <v>100</v>
      </c>
      <c r="J45" s="5"/>
      <c r="K45" s="5"/>
      <c r="L45" s="6">
        <v>105</v>
      </c>
      <c r="M45" s="61">
        <f>25+11+22</f>
        <v>58</v>
      </c>
      <c r="N45" s="6">
        <f>12.5+(92.5-M45)*0.7</f>
        <v>36.65</v>
      </c>
      <c r="P45" s="41"/>
    </row>
    <row r="46" spans="1:16">
      <c r="A46" s="22" t="s">
        <v>97</v>
      </c>
      <c r="B46" s="22"/>
      <c r="C46" s="35">
        <v>43990</v>
      </c>
      <c r="D46" s="35"/>
      <c r="E46" s="35">
        <v>44036</v>
      </c>
      <c r="F46" s="5"/>
      <c r="G46" s="49"/>
      <c r="H46" s="5">
        <v>8.75</v>
      </c>
      <c r="I46" s="102">
        <f>56/30*46</f>
        <v>85.866666666666674</v>
      </c>
      <c r="J46" s="5"/>
      <c r="K46" s="5"/>
      <c r="L46" s="6">
        <v>110</v>
      </c>
      <c r="M46" s="61">
        <f>45+11</f>
        <v>56</v>
      </c>
      <c r="N46" s="6">
        <f>(L46-M46)*0.7</f>
        <v>37.799999999999997</v>
      </c>
    </row>
    <row r="47" spans="1:16">
      <c r="A47" s="22" t="s">
        <v>95</v>
      </c>
      <c r="B47" s="22"/>
      <c r="C47" s="35">
        <v>44028</v>
      </c>
      <c r="D47" s="35"/>
      <c r="E47" s="35">
        <v>44040</v>
      </c>
      <c r="F47" s="5"/>
      <c r="G47" s="49"/>
      <c r="H47" s="5">
        <v>8.75</v>
      </c>
      <c r="I47" s="102">
        <f>41/30*12</f>
        <v>16.399999999999999</v>
      </c>
      <c r="J47" s="5"/>
      <c r="K47" s="5"/>
      <c r="L47" s="6">
        <v>60</v>
      </c>
      <c r="M47" s="61">
        <v>41</v>
      </c>
      <c r="N47" s="6">
        <f>(L47-M47)*0.7</f>
        <v>13.299999999999999</v>
      </c>
    </row>
    <row r="48" spans="1:16">
      <c r="A48" s="22" t="s">
        <v>94</v>
      </c>
      <c r="B48" s="22"/>
      <c r="C48" s="35">
        <v>44011</v>
      </c>
      <c r="D48" s="35"/>
      <c r="E48" s="35">
        <v>44084</v>
      </c>
      <c r="F48" s="5"/>
      <c r="G48" s="49"/>
      <c r="H48" s="5">
        <v>11.29</v>
      </c>
      <c r="I48" s="102">
        <f>25/30*71</f>
        <v>59.166666666666671</v>
      </c>
      <c r="J48" s="5"/>
      <c r="K48" s="5"/>
      <c r="L48" s="6">
        <v>40</v>
      </c>
      <c r="M48" s="61">
        <v>25</v>
      </c>
      <c r="N48" s="6">
        <f>(L48-M48)*0.7</f>
        <v>10.5</v>
      </c>
    </row>
    <row r="49" spans="1:16">
      <c r="A49" s="2" t="s">
        <v>99</v>
      </c>
      <c r="B49" s="2"/>
      <c r="C49" s="35">
        <v>44084</v>
      </c>
      <c r="D49" s="35"/>
      <c r="E49" s="35">
        <v>44105</v>
      </c>
      <c r="F49" s="5" t="s">
        <v>160</v>
      </c>
      <c r="G49" s="49">
        <v>5</v>
      </c>
      <c r="H49" s="5">
        <v>12.24</v>
      </c>
      <c r="I49" s="102">
        <f>25/30*20</f>
        <v>16.666666666666668</v>
      </c>
      <c r="J49" s="5"/>
      <c r="K49" s="5"/>
      <c r="L49" s="43">
        <v>40</v>
      </c>
      <c r="M49" s="61">
        <v>22</v>
      </c>
      <c r="N49" s="6">
        <f>5+13*0.7</f>
        <v>14.1</v>
      </c>
      <c r="P49" s="41"/>
    </row>
    <row r="50" spans="1:16">
      <c r="A50" s="2" t="s">
        <v>102</v>
      </c>
      <c r="B50" s="2"/>
      <c r="C50" s="4" t="s">
        <v>103</v>
      </c>
      <c r="D50" s="4"/>
      <c r="E50" s="4">
        <v>44110</v>
      </c>
      <c r="F50" s="5" t="s">
        <v>160</v>
      </c>
      <c r="G50" s="49">
        <v>10</v>
      </c>
      <c r="H50" s="5">
        <v>36.65</v>
      </c>
      <c r="I50" s="102">
        <f>115/30*26</f>
        <v>99.666666666666671</v>
      </c>
      <c r="J50" s="5"/>
      <c r="K50" s="5"/>
      <c r="L50" s="6">
        <v>180</v>
      </c>
      <c r="M50" s="61">
        <v>115</v>
      </c>
      <c r="N50" s="6">
        <f>10+55*0.7</f>
        <v>48.5</v>
      </c>
      <c r="P50" s="41"/>
    </row>
    <row r="51" spans="1:16">
      <c r="A51" s="2" t="s">
        <v>94</v>
      </c>
      <c r="B51" s="2"/>
      <c r="C51" s="35">
        <v>44124</v>
      </c>
      <c r="D51" s="35"/>
      <c r="E51" s="35">
        <v>44124</v>
      </c>
      <c r="F51" s="5"/>
      <c r="G51" s="49"/>
      <c r="H51" s="5">
        <v>7.25</v>
      </c>
      <c r="I51" s="102">
        <v>0</v>
      </c>
      <c r="J51" s="5"/>
      <c r="K51" s="5"/>
      <c r="L51" s="6">
        <v>25</v>
      </c>
      <c r="M51" s="61">
        <v>11</v>
      </c>
      <c r="N51" s="6">
        <f>(L51-M51)*0.7</f>
        <v>9.7999999999999989</v>
      </c>
    </row>
    <row r="52" spans="1:16">
      <c r="A52" s="2" t="s">
        <v>101</v>
      </c>
      <c r="B52" s="2"/>
      <c r="C52" s="4">
        <v>44070</v>
      </c>
      <c r="D52" s="4"/>
      <c r="E52" s="4">
        <v>44131</v>
      </c>
      <c r="F52" s="40"/>
      <c r="G52" s="2"/>
      <c r="H52" s="5">
        <v>13.93</v>
      </c>
      <c r="I52" s="102">
        <f>71/30*60</f>
        <v>142</v>
      </c>
      <c r="J52" s="5"/>
      <c r="K52" s="5"/>
      <c r="L52" s="6">
        <v>120</v>
      </c>
      <c r="M52" s="61">
        <f>60+11</f>
        <v>71</v>
      </c>
      <c r="N52" s="6">
        <f>(L52-M52)*0.7</f>
        <v>34.299999999999997</v>
      </c>
    </row>
    <row r="53" spans="1:16">
      <c r="A53" s="22" t="s">
        <v>104</v>
      </c>
      <c r="B53" s="22"/>
      <c r="C53" s="4">
        <v>44159</v>
      </c>
      <c r="D53" s="4"/>
      <c r="E53" s="4">
        <v>44187</v>
      </c>
      <c r="F53" s="40"/>
      <c r="G53" s="2"/>
      <c r="H53" s="5">
        <v>13.93</v>
      </c>
      <c r="I53" s="102">
        <f>36/30*28</f>
        <v>33.6</v>
      </c>
      <c r="J53" s="5"/>
      <c r="K53" s="5"/>
      <c r="L53" s="6">
        <v>110</v>
      </c>
      <c r="M53" s="61">
        <f>25+11</f>
        <v>36</v>
      </c>
      <c r="N53" s="6">
        <f>(L53-M53)*0.7</f>
        <v>51.8</v>
      </c>
    </row>
    <row r="54" spans="1:16">
      <c r="A54" s="22" t="s">
        <v>120</v>
      </c>
      <c r="B54" s="22"/>
      <c r="C54" s="4">
        <v>44169</v>
      </c>
      <c r="D54" s="4"/>
      <c r="E54" s="4">
        <v>44208</v>
      </c>
      <c r="F54" s="5" t="s">
        <v>160</v>
      </c>
      <c r="G54" s="49">
        <v>10</v>
      </c>
      <c r="H54" s="5"/>
      <c r="I54" s="102">
        <f>41/30*38</f>
        <v>51.933333333333337</v>
      </c>
      <c r="J54" s="5"/>
      <c r="K54" s="5"/>
      <c r="L54" s="6">
        <v>70</v>
      </c>
      <c r="M54" s="61">
        <v>45</v>
      </c>
      <c r="N54" s="5">
        <f>10+(60-45)*0.7</f>
        <v>20.5</v>
      </c>
      <c r="O54" s="1" t="s">
        <v>145</v>
      </c>
    </row>
    <row r="55" spans="1:16">
      <c r="A55" s="22" t="s">
        <v>108</v>
      </c>
      <c r="B55" s="22"/>
      <c r="C55" s="4">
        <v>44185</v>
      </c>
      <c r="D55" s="4"/>
      <c r="E55" s="4">
        <v>44242</v>
      </c>
      <c r="F55" s="5" t="s">
        <v>160</v>
      </c>
      <c r="G55" s="49">
        <v>20</v>
      </c>
      <c r="H55" s="5">
        <v>26.48</v>
      </c>
      <c r="I55" s="102">
        <f>50/30*55</f>
        <v>91.666666666666671</v>
      </c>
      <c r="J55" s="5">
        <v>160</v>
      </c>
      <c r="K55" s="5"/>
      <c r="L55" s="6">
        <v>130</v>
      </c>
      <c r="M55" s="61">
        <v>34</v>
      </c>
      <c r="N55" s="5">
        <f>(20+(110-34)*0.7)</f>
        <v>73.199999999999989</v>
      </c>
      <c r="O55" s="1" t="s">
        <v>145</v>
      </c>
    </row>
    <row r="56" spans="1:16">
      <c r="A56" s="22" t="s">
        <v>109</v>
      </c>
      <c r="B56" s="22"/>
      <c r="C56" s="4">
        <v>44209</v>
      </c>
      <c r="D56" s="4"/>
      <c r="E56" s="4">
        <v>44250</v>
      </c>
      <c r="F56" s="5" t="s">
        <v>160</v>
      </c>
      <c r="G56" s="49">
        <v>22.5</v>
      </c>
      <c r="H56" s="5">
        <v>22.83</v>
      </c>
      <c r="I56" s="102">
        <f>100/30*40</f>
        <v>133.33333333333334</v>
      </c>
      <c r="J56" s="5">
        <v>125</v>
      </c>
      <c r="K56" s="5"/>
      <c r="L56" s="6">
        <v>210</v>
      </c>
      <c r="M56" s="61">
        <v>100</v>
      </c>
      <c r="N56" s="6">
        <f>(22.5+87.5*0.7)</f>
        <v>83.75</v>
      </c>
    </row>
    <row r="57" spans="1:16">
      <c r="A57" s="2" t="s">
        <v>113</v>
      </c>
      <c r="B57" s="2"/>
      <c r="C57" s="4">
        <v>44245</v>
      </c>
      <c r="D57" s="4"/>
      <c r="E57" s="4">
        <v>44271</v>
      </c>
      <c r="F57" s="5" t="s">
        <v>160</v>
      </c>
      <c r="G57" s="49">
        <v>15</v>
      </c>
      <c r="H57" s="5">
        <v>26.76</v>
      </c>
      <c r="I57" s="102">
        <f>67/30*28</f>
        <v>62.533333333333331</v>
      </c>
      <c r="J57" s="5"/>
      <c r="K57" s="5"/>
      <c r="L57" s="6">
        <v>140</v>
      </c>
      <c r="M57" s="61">
        <v>67</v>
      </c>
      <c r="N57" s="6">
        <f>(15+0.7*58)</f>
        <v>55.599999999999994</v>
      </c>
    </row>
    <row r="58" spans="1:16">
      <c r="A58" s="2" t="s">
        <v>112</v>
      </c>
      <c r="B58" s="2"/>
      <c r="C58" s="4">
        <v>44270</v>
      </c>
      <c r="D58" s="4"/>
      <c r="E58" s="4">
        <v>44286</v>
      </c>
      <c r="F58" s="5" t="s">
        <v>160</v>
      </c>
      <c r="G58" s="49">
        <v>17.5</v>
      </c>
      <c r="H58" s="5">
        <v>31.96</v>
      </c>
      <c r="I58" s="102">
        <f>55/30*16</f>
        <v>29.333333333333332</v>
      </c>
      <c r="J58" s="5">
        <v>75</v>
      </c>
      <c r="K58" s="5"/>
      <c r="L58" s="6">
        <v>100</v>
      </c>
      <c r="M58" s="61">
        <v>55</v>
      </c>
      <c r="N58" s="6">
        <f>(17.5+27.5*0.7)</f>
        <v>36.75</v>
      </c>
    </row>
    <row r="59" spans="1:16">
      <c r="A59" s="22" t="s">
        <v>121</v>
      </c>
      <c r="B59" s="22"/>
      <c r="C59" s="4">
        <v>44316</v>
      </c>
      <c r="D59" s="4"/>
      <c r="E59" s="4">
        <v>44354</v>
      </c>
      <c r="F59" s="40"/>
      <c r="G59" s="2"/>
      <c r="H59" s="5">
        <v>15.15</v>
      </c>
      <c r="I59" s="102">
        <f>36/30*37</f>
        <v>44.4</v>
      </c>
      <c r="J59" s="5"/>
      <c r="K59" s="5"/>
      <c r="L59" s="6">
        <v>110</v>
      </c>
      <c r="M59" s="61">
        <v>36</v>
      </c>
      <c r="N59" s="5">
        <f>(L59-M59)*0.7</f>
        <v>51.8</v>
      </c>
      <c r="O59" s="1" t="s">
        <v>145</v>
      </c>
    </row>
    <row r="60" spans="1:16">
      <c r="A60" s="22" t="s">
        <v>126</v>
      </c>
      <c r="B60" s="22"/>
      <c r="C60" s="4">
        <v>44336</v>
      </c>
      <c r="D60" s="4"/>
      <c r="E60" s="4">
        <v>44370</v>
      </c>
      <c r="F60" s="5" t="s">
        <v>161</v>
      </c>
      <c r="G60" s="49">
        <v>17.5</v>
      </c>
      <c r="H60" s="5">
        <v>35.78</v>
      </c>
      <c r="I60" s="102">
        <f>58/30*33</f>
        <v>63.8</v>
      </c>
      <c r="J60" s="5">
        <v>50</v>
      </c>
      <c r="K60" s="5"/>
      <c r="L60" s="6">
        <v>150</v>
      </c>
      <c r="M60" s="61">
        <v>58</v>
      </c>
      <c r="N60" s="6">
        <f>(17.5+74.5*0.7)</f>
        <v>69.650000000000006</v>
      </c>
    </row>
    <row r="61" spans="1:16">
      <c r="A61" s="44" t="s">
        <v>125</v>
      </c>
      <c r="B61" s="44"/>
      <c r="C61" s="4">
        <v>44342</v>
      </c>
      <c r="D61" s="4"/>
      <c r="E61" s="4">
        <v>44386</v>
      </c>
      <c r="F61" s="5" t="s">
        <v>160</v>
      </c>
      <c r="G61" s="49">
        <v>12.5</v>
      </c>
      <c r="H61" s="5">
        <v>15.46</v>
      </c>
      <c r="I61" s="102">
        <f>36/30*43</f>
        <v>51.6</v>
      </c>
      <c r="J61" s="5">
        <f>50+45</f>
        <v>95</v>
      </c>
      <c r="K61" s="5"/>
      <c r="L61" s="6">
        <v>80</v>
      </c>
      <c r="M61" s="61">
        <v>33</v>
      </c>
      <c r="N61" s="6">
        <f>12.5+(L61-M61-12.5)*0.7</f>
        <v>36.65</v>
      </c>
    </row>
    <row r="62" spans="1:16">
      <c r="A62" s="44" t="s">
        <v>129</v>
      </c>
      <c r="B62" s="44"/>
      <c r="C62" s="4">
        <v>44348</v>
      </c>
      <c r="D62" s="4"/>
      <c r="E62" s="4">
        <v>44389</v>
      </c>
      <c r="F62" s="5" t="s">
        <v>160</v>
      </c>
      <c r="G62" s="49">
        <v>12.5</v>
      </c>
      <c r="H62" s="5">
        <v>26.22</v>
      </c>
      <c r="I62" s="102">
        <f>71/30*42</f>
        <v>99.4</v>
      </c>
      <c r="J62" s="5">
        <f>50+45</f>
        <v>95</v>
      </c>
      <c r="K62" s="5"/>
      <c r="L62" s="6">
        <v>140</v>
      </c>
      <c r="M62" s="61">
        <v>71</v>
      </c>
      <c r="N62" s="6">
        <f>(12.5+(127.5-71)*0.7)</f>
        <v>52.05</v>
      </c>
    </row>
    <row r="63" spans="1:16">
      <c r="A63" s="44" t="s">
        <v>132</v>
      </c>
      <c r="B63" s="44"/>
      <c r="C63" s="4">
        <v>44407</v>
      </c>
      <c r="D63" s="4"/>
      <c r="E63" s="4">
        <v>44461</v>
      </c>
      <c r="F63" s="40"/>
      <c r="G63" s="2"/>
      <c r="H63" s="5">
        <v>9.8800000000000008</v>
      </c>
      <c r="I63" s="102">
        <f>25/30*52</f>
        <v>43.333333333333336</v>
      </c>
      <c r="J63" s="5"/>
      <c r="K63" s="5"/>
      <c r="L63" s="6">
        <v>40</v>
      </c>
      <c r="M63" s="61">
        <v>25</v>
      </c>
      <c r="N63" s="6">
        <f>(L63-M63)*0.7</f>
        <v>10.5</v>
      </c>
    </row>
    <row r="64" spans="1:16">
      <c r="A64" s="52" t="s">
        <v>141</v>
      </c>
      <c r="B64" s="52"/>
      <c r="C64" s="57">
        <v>44459</v>
      </c>
      <c r="D64" s="57"/>
      <c r="E64" s="57">
        <v>44481</v>
      </c>
      <c r="F64" s="10" t="s">
        <v>161</v>
      </c>
      <c r="G64" s="12">
        <v>10</v>
      </c>
      <c r="H64" s="25">
        <v>15.15</v>
      </c>
      <c r="I64" s="103">
        <f>46/30*22</f>
        <v>33.733333333333334</v>
      </c>
      <c r="J64" s="25">
        <v>80</v>
      </c>
      <c r="K64" s="25"/>
      <c r="L64" s="27">
        <v>120</v>
      </c>
      <c r="M64" s="64">
        <v>46</v>
      </c>
      <c r="N64" s="27">
        <f>10+(120-56)*0.7</f>
        <v>54.8</v>
      </c>
    </row>
    <row r="65" spans="1:16">
      <c r="A65" s="52" t="s">
        <v>140</v>
      </c>
      <c r="B65" s="52"/>
      <c r="C65" s="57">
        <v>44449</v>
      </c>
      <c r="D65" s="57"/>
      <c r="E65" s="57">
        <v>44482</v>
      </c>
      <c r="F65" s="25" t="s">
        <v>160</v>
      </c>
      <c r="G65" s="58">
        <v>10</v>
      </c>
      <c r="H65" s="25">
        <v>13.4</v>
      </c>
      <c r="I65" s="103">
        <f>60/30*33</f>
        <v>66</v>
      </c>
      <c r="J65" s="25">
        <v>80</v>
      </c>
      <c r="K65" s="25"/>
      <c r="L65" s="27">
        <v>120</v>
      </c>
      <c r="M65" s="64">
        <v>61</v>
      </c>
      <c r="N65" s="27">
        <f>(10+49*0.7)</f>
        <v>44.3</v>
      </c>
    </row>
    <row r="66" spans="1:16">
      <c r="A66" s="44" t="s">
        <v>137</v>
      </c>
      <c r="B66" s="44"/>
      <c r="C66" s="35">
        <v>44474</v>
      </c>
      <c r="D66" s="35"/>
      <c r="E66" s="35">
        <v>44487</v>
      </c>
      <c r="F66" s="10" t="s">
        <v>161</v>
      </c>
      <c r="G66" s="12">
        <v>12.5</v>
      </c>
      <c r="H66" s="5">
        <v>15.15</v>
      </c>
      <c r="I66" s="102">
        <f>71/30*13</f>
        <v>30.766666666666666</v>
      </c>
      <c r="J66" s="5">
        <v>95</v>
      </c>
      <c r="K66" s="5"/>
      <c r="L66" s="6">
        <v>140</v>
      </c>
      <c r="M66" s="61">
        <v>71</v>
      </c>
      <c r="N66" s="6">
        <f>12.5+(56.5)*0.7</f>
        <v>52.05</v>
      </c>
    </row>
    <row r="67" spans="1:16">
      <c r="A67" s="44" t="s">
        <v>139</v>
      </c>
      <c r="B67" s="44"/>
      <c r="C67" s="35">
        <v>44492</v>
      </c>
      <c r="D67" s="35"/>
      <c r="E67" s="35">
        <v>44539</v>
      </c>
      <c r="F67" s="40"/>
      <c r="G67" s="49"/>
      <c r="H67" s="5">
        <v>16.350000000000001</v>
      </c>
      <c r="I67" s="102">
        <f>71/30*46</f>
        <v>108.86666666666667</v>
      </c>
      <c r="J67" s="5">
        <v>95</v>
      </c>
      <c r="K67" s="5"/>
      <c r="L67" s="6">
        <v>140</v>
      </c>
      <c r="M67" s="61">
        <v>71</v>
      </c>
      <c r="N67" s="12">
        <f>(140-71)*0.7</f>
        <v>48.3</v>
      </c>
      <c r="O67" s="72" t="s">
        <v>329</v>
      </c>
      <c r="P67" s="72">
        <v>33.81</v>
      </c>
    </row>
    <row r="68" spans="1:16">
      <c r="A68" s="44" t="s">
        <v>144</v>
      </c>
      <c r="B68" s="44"/>
      <c r="C68" s="35">
        <v>44526</v>
      </c>
      <c r="D68" s="35"/>
      <c r="E68" s="35">
        <v>44550</v>
      </c>
      <c r="F68" s="5" t="s">
        <v>160</v>
      </c>
      <c r="G68" s="49">
        <v>12.5</v>
      </c>
      <c r="H68" s="5">
        <v>13.4</v>
      </c>
      <c r="I68" s="102">
        <f>83/30*24</f>
        <v>66.400000000000006</v>
      </c>
      <c r="J68" s="5"/>
      <c r="K68" s="5"/>
      <c r="L68" s="6">
        <v>140</v>
      </c>
      <c r="M68" s="61">
        <v>94</v>
      </c>
      <c r="N68" s="6">
        <f>12.5+(140-12.5-94)*0.7</f>
        <v>35.950000000000003</v>
      </c>
    </row>
    <row r="69" spans="1:16">
      <c r="A69" s="44" t="s">
        <v>149</v>
      </c>
      <c r="B69" s="44"/>
      <c r="C69" s="35">
        <v>44880</v>
      </c>
      <c r="D69" s="35"/>
      <c r="E69" s="35">
        <v>44575</v>
      </c>
      <c r="F69" s="40"/>
      <c r="G69" s="49"/>
      <c r="H69" s="5">
        <v>13.4</v>
      </c>
      <c r="I69" s="102"/>
      <c r="J69" s="5">
        <v>50</v>
      </c>
      <c r="K69" s="5"/>
      <c r="L69" s="6">
        <v>160</v>
      </c>
      <c r="M69" s="61">
        <f>71+9</f>
        <v>80</v>
      </c>
      <c r="N69" s="6">
        <f>(160-80)*0.7</f>
        <v>56</v>
      </c>
    </row>
    <row r="70" spans="1:16">
      <c r="A70" s="44" t="s">
        <v>146</v>
      </c>
      <c r="B70" s="44"/>
      <c r="C70" s="4">
        <v>44586</v>
      </c>
      <c r="D70" s="4"/>
      <c r="E70" s="4">
        <v>44615</v>
      </c>
      <c r="F70" s="10" t="s">
        <v>161</v>
      </c>
      <c r="G70" s="12">
        <v>12.5</v>
      </c>
      <c r="H70" s="5">
        <v>15.46</v>
      </c>
      <c r="I70" s="102">
        <f>27/30*28</f>
        <v>25.2</v>
      </c>
      <c r="J70" s="5">
        <v>110</v>
      </c>
      <c r="K70" s="5"/>
      <c r="L70" s="6">
        <v>154</v>
      </c>
      <c r="M70" s="61">
        <v>72</v>
      </c>
      <c r="N70" s="6">
        <f>12.5+(154-12.5-62)*0.7</f>
        <v>68.150000000000006</v>
      </c>
    </row>
    <row r="71" spans="1:16">
      <c r="A71" s="44" t="s">
        <v>153</v>
      </c>
      <c r="B71" s="44"/>
      <c r="C71" s="4">
        <v>44623</v>
      </c>
      <c r="D71" s="4"/>
      <c r="E71" s="4">
        <v>44623</v>
      </c>
      <c r="F71" s="40"/>
      <c r="G71" s="40"/>
      <c r="H71" s="5">
        <v>11.03</v>
      </c>
      <c r="I71" s="102">
        <v>0</v>
      </c>
      <c r="J71" s="5">
        <v>15</v>
      </c>
      <c r="K71" s="5"/>
      <c r="L71" s="6">
        <v>30</v>
      </c>
      <c r="M71" s="61">
        <v>12</v>
      </c>
      <c r="N71" s="6">
        <f>(L71-M71)*0.7</f>
        <v>12.6</v>
      </c>
    </row>
    <row r="72" spans="1:16">
      <c r="A72" s="44" t="s">
        <v>157</v>
      </c>
      <c r="B72" s="44"/>
      <c r="C72" s="4">
        <v>44627</v>
      </c>
      <c r="D72" s="4"/>
      <c r="E72" s="4">
        <v>44627</v>
      </c>
      <c r="F72" s="10" t="s">
        <v>161</v>
      </c>
      <c r="G72" s="12">
        <v>10</v>
      </c>
      <c r="H72" s="5">
        <v>15.46</v>
      </c>
      <c r="I72" s="102">
        <v>0</v>
      </c>
      <c r="J72" s="5">
        <v>0</v>
      </c>
      <c r="K72" s="5"/>
      <c r="L72" s="6">
        <v>100</v>
      </c>
      <c r="M72" s="61">
        <v>44</v>
      </c>
      <c r="N72" s="6">
        <f>10+(46)*0.7</f>
        <v>42.199999999999996</v>
      </c>
    </row>
    <row r="73" spans="1:16">
      <c r="A73" s="44" t="s">
        <v>171</v>
      </c>
      <c r="B73" s="44"/>
      <c r="C73" s="4">
        <v>44648</v>
      </c>
      <c r="D73" s="4"/>
      <c r="E73" s="4">
        <v>44734</v>
      </c>
      <c r="F73" s="40"/>
      <c r="G73" s="5"/>
      <c r="H73" s="5">
        <v>13.72</v>
      </c>
      <c r="I73" s="102">
        <f>56/30*84</f>
        <v>156.80000000000001</v>
      </c>
      <c r="J73" s="5">
        <v>95</v>
      </c>
      <c r="K73" s="5"/>
      <c r="L73" s="6">
        <v>140</v>
      </c>
      <c r="M73" s="61">
        <v>56</v>
      </c>
      <c r="N73" s="6">
        <f>(140-56)*0.7</f>
        <v>58.8</v>
      </c>
    </row>
    <row r="74" spans="1:16">
      <c r="A74" s="44" t="s">
        <v>172</v>
      </c>
      <c r="B74" s="44"/>
      <c r="C74" s="4">
        <v>44705</v>
      </c>
      <c r="D74" s="4"/>
      <c r="E74" s="4">
        <v>44715</v>
      </c>
      <c r="F74" s="40"/>
      <c r="G74" s="5"/>
      <c r="H74" s="5">
        <v>10.039999999999999</v>
      </c>
      <c r="I74" s="102">
        <f>25/30*9</f>
        <v>7.5</v>
      </c>
      <c r="J74" s="5"/>
      <c r="K74" s="5"/>
      <c r="L74" s="6">
        <v>50</v>
      </c>
      <c r="M74" s="61">
        <v>25</v>
      </c>
      <c r="N74" s="6">
        <f>(50-25)*0.7</f>
        <v>17.5</v>
      </c>
    </row>
    <row r="75" spans="1:16">
      <c r="A75" s="44" t="s">
        <v>173</v>
      </c>
      <c r="B75" s="44"/>
      <c r="C75" s="4">
        <v>44704</v>
      </c>
      <c r="D75" s="4"/>
      <c r="E75" s="4">
        <v>44721</v>
      </c>
      <c r="F75" s="10" t="s">
        <v>161</v>
      </c>
      <c r="G75" s="56">
        <v>12.5</v>
      </c>
      <c r="H75" s="5">
        <v>13.72</v>
      </c>
      <c r="I75" s="102">
        <f>37/30*16</f>
        <v>19.733333333333334</v>
      </c>
      <c r="J75" s="5">
        <f>50+45</f>
        <v>95</v>
      </c>
      <c r="K75" s="5"/>
      <c r="L75" s="6">
        <v>129</v>
      </c>
      <c r="M75" s="61">
        <v>54.5</v>
      </c>
      <c r="N75" s="56">
        <f>12.5+(116.5-54.5)*0.7</f>
        <v>55.9</v>
      </c>
    </row>
    <row r="76" spans="1:16">
      <c r="A76" s="44" t="s">
        <v>174</v>
      </c>
      <c r="B76" s="44"/>
      <c r="C76" s="4">
        <v>44715</v>
      </c>
      <c r="D76" s="4"/>
      <c r="E76" s="4">
        <v>44820</v>
      </c>
      <c r="F76" s="10" t="s">
        <v>161</v>
      </c>
      <c r="G76" s="56">
        <v>15</v>
      </c>
      <c r="H76" s="5">
        <v>14.6</v>
      </c>
      <c r="I76" s="102">
        <f>56/30*103</f>
        <v>192.26666666666668</v>
      </c>
      <c r="J76" s="5">
        <v>50</v>
      </c>
      <c r="K76" s="5"/>
      <c r="L76" s="6">
        <f>130</f>
        <v>130</v>
      </c>
      <c r="M76" s="61">
        <v>56</v>
      </c>
      <c r="N76" s="56">
        <f>15+(115-56)*0.7</f>
        <v>56.3</v>
      </c>
    </row>
    <row r="77" spans="1:16">
      <c r="A77" s="44" t="s">
        <v>183</v>
      </c>
      <c r="B77" s="44"/>
      <c r="C77" s="4">
        <v>44749</v>
      </c>
      <c r="D77" s="4">
        <v>44830</v>
      </c>
      <c r="E77" s="4">
        <v>44858</v>
      </c>
      <c r="F77" s="40"/>
      <c r="G77" s="5"/>
      <c r="H77" s="5">
        <v>11.03</v>
      </c>
      <c r="I77" s="102">
        <v>25</v>
      </c>
      <c r="J77" s="5">
        <v>15</v>
      </c>
      <c r="K77" s="5"/>
      <c r="L77" s="6">
        <v>80</v>
      </c>
      <c r="M77" s="61">
        <v>25</v>
      </c>
      <c r="N77" s="6">
        <f>55*0.7</f>
        <v>38.5</v>
      </c>
    </row>
    <row r="78" spans="1:16">
      <c r="A78" s="44" t="s">
        <v>185</v>
      </c>
      <c r="B78" s="44"/>
      <c r="C78" s="4">
        <v>44830</v>
      </c>
      <c r="D78" s="4">
        <v>44852</v>
      </c>
      <c r="E78" s="4">
        <v>44858</v>
      </c>
      <c r="F78" s="10" t="s">
        <v>161</v>
      </c>
      <c r="G78" s="12">
        <v>15</v>
      </c>
      <c r="H78" s="5">
        <v>23.38</v>
      </c>
      <c r="I78" s="102">
        <f>54.5/30*6</f>
        <v>10.9</v>
      </c>
      <c r="J78" s="5">
        <v>95</v>
      </c>
      <c r="K78" s="5"/>
      <c r="L78" s="6">
        <v>160</v>
      </c>
      <c r="M78" s="61">
        <v>64.5</v>
      </c>
      <c r="N78" s="6">
        <f>15+(145-64.5)*0.7</f>
        <v>71.349999999999994</v>
      </c>
    </row>
    <row r="79" spans="1:16">
      <c r="A79" s="44" t="s">
        <v>190</v>
      </c>
      <c r="B79" s="44"/>
      <c r="C79" s="4"/>
      <c r="D79" s="4">
        <v>44879</v>
      </c>
      <c r="E79" s="35">
        <v>44887</v>
      </c>
      <c r="F79" s="44" t="s">
        <v>161</v>
      </c>
      <c r="G79" s="56">
        <v>10</v>
      </c>
      <c r="H79" s="5">
        <v>14.6</v>
      </c>
      <c r="I79" s="102">
        <f>34/30*8</f>
        <v>9.0666666666666664</v>
      </c>
      <c r="J79" s="5">
        <v>45</v>
      </c>
      <c r="K79" s="5"/>
      <c r="L79" s="6">
        <v>75</v>
      </c>
      <c r="M79" s="61">
        <v>34</v>
      </c>
      <c r="N79" s="56">
        <f>10+(80-34)*0.7</f>
        <v>42.199999999999996</v>
      </c>
    </row>
    <row r="80" spans="1:16">
      <c r="A80" s="44" t="s">
        <v>193</v>
      </c>
      <c r="B80" s="44"/>
      <c r="C80" s="4">
        <v>44872</v>
      </c>
      <c r="D80" s="4">
        <v>44879</v>
      </c>
      <c r="E80" s="35">
        <v>44882</v>
      </c>
      <c r="F80" s="40"/>
      <c r="G80" s="5"/>
      <c r="H80" s="5">
        <v>10.039999999999999</v>
      </c>
      <c r="I80" s="102">
        <f>25/30*3</f>
        <v>2.5</v>
      </c>
      <c r="J80" s="5"/>
      <c r="K80" s="5"/>
      <c r="L80" s="6">
        <v>40</v>
      </c>
      <c r="M80" s="61">
        <v>25</v>
      </c>
      <c r="N80" s="6">
        <f>(L80-M80)*0.7</f>
        <v>10.5</v>
      </c>
    </row>
    <row r="81" spans="1:16">
      <c r="A81" s="44" t="s">
        <v>213</v>
      </c>
      <c r="B81" s="44"/>
      <c r="C81" s="4">
        <v>44894</v>
      </c>
      <c r="D81" s="4">
        <v>44908</v>
      </c>
      <c r="E81" s="35">
        <v>44944</v>
      </c>
      <c r="F81" s="40" t="s">
        <v>161</v>
      </c>
      <c r="G81" s="5">
        <v>15</v>
      </c>
      <c r="H81" s="5">
        <v>31.72</v>
      </c>
      <c r="I81" s="102">
        <f>50/30*35</f>
        <v>58.333333333333336</v>
      </c>
      <c r="J81" s="5">
        <f>60+50</f>
        <v>110</v>
      </c>
      <c r="K81" s="5"/>
      <c r="L81" s="6">
        <v>119</v>
      </c>
      <c r="M81" s="61">
        <v>54</v>
      </c>
      <c r="N81" s="94">
        <f>15+(L81-M81-15)*0.7</f>
        <v>50</v>
      </c>
    </row>
    <row r="82" spans="1:16">
      <c r="A82" s="44" t="s">
        <v>227</v>
      </c>
      <c r="B82" s="44"/>
      <c r="C82" s="4">
        <v>44949</v>
      </c>
      <c r="D82" s="4">
        <v>44953</v>
      </c>
      <c r="E82" s="35">
        <v>44966</v>
      </c>
      <c r="F82" s="40" t="s">
        <v>160</v>
      </c>
      <c r="G82" s="5">
        <v>15</v>
      </c>
      <c r="H82" s="5">
        <v>16.38</v>
      </c>
      <c r="I82" s="102">
        <f>61.5/30*12</f>
        <v>24.599999999999998</v>
      </c>
      <c r="J82" s="5">
        <f>50+60</f>
        <v>110</v>
      </c>
      <c r="K82" s="5"/>
      <c r="L82" s="6">
        <v>160</v>
      </c>
      <c r="M82" s="65">
        <f>32.5+7+22</f>
        <v>61.5</v>
      </c>
      <c r="N82" s="59">
        <f>15+(L82-M82-15)*0.7</f>
        <v>73.449999999999989</v>
      </c>
    </row>
    <row r="83" spans="1:16">
      <c r="A83" s="44" t="s">
        <v>228</v>
      </c>
      <c r="B83" s="44"/>
      <c r="C83" s="4">
        <v>44957</v>
      </c>
      <c r="D83" s="4">
        <v>44957</v>
      </c>
      <c r="E83" s="35">
        <v>44977</v>
      </c>
      <c r="F83" s="40"/>
      <c r="G83" s="5"/>
      <c r="H83" s="5">
        <v>20.61</v>
      </c>
      <c r="I83" s="102">
        <f>66/30*20</f>
        <v>44</v>
      </c>
      <c r="J83" s="5">
        <v>90</v>
      </c>
      <c r="K83" s="5"/>
      <c r="L83" s="6">
        <v>155</v>
      </c>
      <c r="M83" s="65">
        <v>54</v>
      </c>
      <c r="N83" s="59">
        <f>(L83-M83)*0.7</f>
        <v>70.699999999999989</v>
      </c>
    </row>
    <row r="84" spans="1:16">
      <c r="A84" s="44" t="s">
        <v>255</v>
      </c>
      <c r="B84" s="44"/>
      <c r="C84" s="35">
        <v>44691</v>
      </c>
      <c r="D84" s="35">
        <v>44994</v>
      </c>
      <c r="E84" s="4">
        <v>44994</v>
      </c>
      <c r="F84" s="40"/>
      <c r="G84" s="40"/>
      <c r="H84" s="5">
        <v>11.03</v>
      </c>
      <c r="I84" s="102">
        <f>25*14</f>
        <v>350</v>
      </c>
      <c r="J84" s="40">
        <f>30+50</f>
        <v>80</v>
      </c>
      <c r="K84" s="40"/>
      <c r="L84" s="6">
        <v>109</v>
      </c>
      <c r="M84" s="6">
        <f>38+7</f>
        <v>45</v>
      </c>
      <c r="N84" s="59">
        <f>(L84-M84)*0.7</f>
        <v>44.8</v>
      </c>
    </row>
    <row r="85" spans="1:16">
      <c r="A85" s="44" t="s">
        <v>187</v>
      </c>
      <c r="B85" s="44"/>
      <c r="C85" s="35"/>
      <c r="D85" s="35">
        <v>44991</v>
      </c>
      <c r="E85" s="4">
        <v>44991</v>
      </c>
      <c r="F85" s="40"/>
      <c r="G85" s="40"/>
      <c r="H85" s="5">
        <v>13.31</v>
      </c>
      <c r="I85" s="102"/>
      <c r="J85" s="40">
        <v>45</v>
      </c>
      <c r="K85" s="40"/>
      <c r="L85" s="6">
        <v>80</v>
      </c>
      <c r="M85" s="6">
        <v>27</v>
      </c>
      <c r="N85" s="59">
        <f>(L85-M85)*0.7</f>
        <v>37.099999999999994</v>
      </c>
    </row>
    <row r="86" spans="1:16">
      <c r="A86" s="76" t="s">
        <v>276</v>
      </c>
      <c r="B86" s="44"/>
      <c r="C86" s="35">
        <v>45061</v>
      </c>
      <c r="D86" s="35">
        <v>45070</v>
      </c>
      <c r="E86" s="4"/>
      <c r="F86" s="40"/>
      <c r="G86" s="40"/>
      <c r="H86" s="5">
        <v>11.48</v>
      </c>
      <c r="I86" s="102">
        <f>21/30*9</f>
        <v>6.3</v>
      </c>
      <c r="J86" s="40"/>
      <c r="K86" s="40"/>
      <c r="L86" s="17">
        <f>50</f>
        <v>50</v>
      </c>
      <c r="M86" s="18">
        <v>21</v>
      </c>
      <c r="N86" s="70">
        <f>(50-21)*0.7</f>
        <v>20.299999999999997</v>
      </c>
    </row>
    <row r="87" spans="1:16">
      <c r="A87" s="76" t="s">
        <v>279</v>
      </c>
      <c r="B87" s="44"/>
      <c r="C87" s="35">
        <v>45065</v>
      </c>
      <c r="D87" s="35">
        <v>45070</v>
      </c>
      <c r="E87" s="4"/>
      <c r="F87" s="40"/>
      <c r="G87" s="40"/>
      <c r="H87" s="5">
        <v>11.48</v>
      </c>
      <c r="I87" s="102">
        <f>21/30*5</f>
        <v>3.5</v>
      </c>
      <c r="J87" s="40"/>
      <c r="K87" s="40"/>
      <c r="L87" s="17">
        <f>50</f>
        <v>50</v>
      </c>
      <c r="M87" s="18">
        <v>21</v>
      </c>
      <c r="N87" s="70">
        <f>(50-21)*0.7</f>
        <v>20.299999999999997</v>
      </c>
    </row>
    <row r="88" spans="1:16">
      <c r="A88" s="76" t="s">
        <v>278</v>
      </c>
      <c r="B88" s="52"/>
      <c r="C88" s="57">
        <v>44973</v>
      </c>
      <c r="D88" s="57">
        <v>45070</v>
      </c>
      <c r="E88" s="24"/>
      <c r="F88" s="48"/>
      <c r="G88" s="48"/>
      <c r="H88" s="25">
        <v>11.48</v>
      </c>
      <c r="I88" s="103">
        <f>21/30*98</f>
        <v>68.599999999999994</v>
      </c>
      <c r="J88" s="48"/>
      <c r="K88" s="48"/>
      <c r="L88" s="17">
        <v>50</v>
      </c>
      <c r="M88" s="26">
        <v>21</v>
      </c>
      <c r="N88" s="85">
        <f>(50-21)*0.7</f>
        <v>20.299999999999997</v>
      </c>
    </row>
    <row r="89" spans="1:16">
      <c r="A89" s="44" t="s">
        <v>289</v>
      </c>
      <c r="B89" s="44"/>
      <c r="C89" s="35">
        <v>45110</v>
      </c>
      <c r="D89" s="35">
        <v>45127</v>
      </c>
      <c r="E89" s="4">
        <v>45110</v>
      </c>
      <c r="F89" s="40"/>
      <c r="G89" s="40"/>
      <c r="H89" s="5">
        <v>13.31</v>
      </c>
      <c r="I89" s="102">
        <f>27/30*17</f>
        <v>15.3</v>
      </c>
      <c r="J89" s="40">
        <v>45</v>
      </c>
      <c r="K89" s="40"/>
      <c r="L89" s="6">
        <v>75</v>
      </c>
      <c r="M89" s="6">
        <v>27</v>
      </c>
      <c r="N89" s="59">
        <f>(L89-M89)*0.7</f>
        <v>33.599999999999994</v>
      </c>
    </row>
    <row r="90" spans="1:16">
      <c r="A90" s="44" t="s">
        <v>292</v>
      </c>
      <c r="B90" s="44"/>
      <c r="C90" s="35">
        <v>45138</v>
      </c>
      <c r="D90" s="35">
        <v>45139</v>
      </c>
      <c r="E90" s="35">
        <v>45162</v>
      </c>
      <c r="F90" s="40"/>
      <c r="G90" s="40"/>
      <c r="H90" s="5">
        <v>12.48</v>
      </c>
      <c r="I90" s="102">
        <f>27/30*23</f>
        <v>20.7</v>
      </c>
      <c r="J90" s="40">
        <v>45</v>
      </c>
      <c r="K90" s="40"/>
      <c r="L90" s="6">
        <v>90</v>
      </c>
      <c r="M90" s="6">
        <v>27</v>
      </c>
      <c r="N90" s="59">
        <f>(L90-M90)*0.7</f>
        <v>44.099999999999994</v>
      </c>
    </row>
    <row r="91" spans="1:16">
      <c r="A91" s="44" t="s">
        <v>293</v>
      </c>
      <c r="B91" s="44"/>
      <c r="C91" s="35">
        <v>45086</v>
      </c>
      <c r="D91" s="35">
        <v>45089</v>
      </c>
      <c r="E91" s="4">
        <v>45103</v>
      </c>
      <c r="F91" s="40"/>
      <c r="G91" s="40"/>
      <c r="H91" s="5">
        <v>11.03</v>
      </c>
      <c r="I91" s="102">
        <f>21/30*14</f>
        <v>9.7999999999999989</v>
      </c>
      <c r="J91" s="40"/>
      <c r="K91" s="40"/>
      <c r="L91" s="6">
        <v>50</v>
      </c>
      <c r="M91" s="6">
        <v>21</v>
      </c>
      <c r="N91" s="59">
        <f>(L91-M91)*0.7</f>
        <v>20.299999999999997</v>
      </c>
    </row>
    <row r="92" spans="1:16">
      <c r="A92" s="44" t="s">
        <v>295</v>
      </c>
      <c r="B92" s="44"/>
      <c r="C92" s="35">
        <v>45228</v>
      </c>
      <c r="D92" s="35">
        <v>45203</v>
      </c>
      <c r="E92" s="4"/>
      <c r="F92" s="40"/>
      <c r="G92" s="40"/>
      <c r="H92" s="5">
        <v>13.31</v>
      </c>
      <c r="I92" s="102">
        <f>27/30*5</f>
        <v>4.5</v>
      </c>
      <c r="J92" s="40">
        <v>45</v>
      </c>
      <c r="K92" s="40"/>
      <c r="L92" s="6">
        <v>80</v>
      </c>
      <c r="M92" s="6">
        <v>27</v>
      </c>
      <c r="N92" s="59">
        <f>(L92-M92)*0.7</f>
        <v>37.099999999999994</v>
      </c>
    </row>
    <row r="93" spans="1:16">
      <c r="A93" s="44" t="s">
        <v>320</v>
      </c>
      <c r="B93" s="44"/>
      <c r="C93" s="35">
        <v>45177</v>
      </c>
      <c r="D93" s="35">
        <v>45196</v>
      </c>
      <c r="E93" s="4"/>
      <c r="F93" s="40"/>
      <c r="G93" s="40"/>
      <c r="H93" s="5">
        <v>10.44</v>
      </c>
      <c r="I93" s="102">
        <f>38/30*21</f>
        <v>26.599999999999998</v>
      </c>
      <c r="J93" s="40"/>
      <c r="K93" s="40"/>
      <c r="L93" s="6">
        <v>69</v>
      </c>
      <c r="M93" s="6">
        <v>38</v>
      </c>
      <c r="N93" s="59">
        <f>(69-38)*0.7</f>
        <v>21.7</v>
      </c>
    </row>
    <row r="94" spans="1:16">
      <c r="A94" s="44" t="s">
        <v>325</v>
      </c>
      <c r="B94" s="44"/>
      <c r="C94" s="35"/>
      <c r="D94" s="35">
        <v>45223</v>
      </c>
      <c r="E94" s="4">
        <v>45239</v>
      </c>
      <c r="F94" s="40"/>
      <c r="G94" s="40"/>
      <c r="H94" s="5">
        <v>40</v>
      </c>
      <c r="I94" s="102">
        <f>43/30*15</f>
        <v>21.5</v>
      </c>
      <c r="J94" s="40"/>
      <c r="K94" s="40"/>
      <c r="L94" s="6">
        <v>69</v>
      </c>
      <c r="M94" s="6">
        <v>43</v>
      </c>
      <c r="N94" s="94">
        <f>(69-43)*0.7</f>
        <v>18.2</v>
      </c>
      <c r="O94" s="72" t="s">
        <v>329</v>
      </c>
      <c r="P94" s="72">
        <v>12.74</v>
      </c>
    </row>
    <row r="95" spans="1:16">
      <c r="A95" s="44" t="s">
        <v>326</v>
      </c>
      <c r="B95" s="44"/>
      <c r="C95" s="35"/>
      <c r="D95" s="35">
        <v>45188</v>
      </c>
      <c r="E95" s="4">
        <v>45209</v>
      </c>
      <c r="F95" s="40"/>
      <c r="G95" s="40"/>
      <c r="H95" s="5">
        <v>11.48</v>
      </c>
      <c r="I95" s="102"/>
      <c r="J95" s="40"/>
      <c r="K95" s="40"/>
      <c r="L95" s="6">
        <v>59</v>
      </c>
      <c r="M95" s="6">
        <v>38</v>
      </c>
      <c r="N95" s="59">
        <f>(L95-M95)*0.7</f>
        <v>14.7</v>
      </c>
    </row>
    <row r="96" spans="1:16">
      <c r="A96" s="44" t="s">
        <v>108</v>
      </c>
      <c r="B96" s="44"/>
      <c r="C96" s="35"/>
      <c r="D96" s="35">
        <v>45231</v>
      </c>
      <c r="E96" s="4">
        <v>45231</v>
      </c>
      <c r="F96" s="40"/>
      <c r="G96" s="40"/>
      <c r="H96" s="5"/>
      <c r="I96" s="102"/>
      <c r="J96" s="40"/>
      <c r="K96" s="40"/>
      <c r="L96" s="6">
        <v>69</v>
      </c>
      <c r="M96" s="6">
        <v>43</v>
      </c>
      <c r="N96" s="59">
        <f>(L96-M96)*0.7</f>
        <v>18.2</v>
      </c>
    </row>
    <row r="97" spans="1:15">
      <c r="A97" s="44" t="s">
        <v>327</v>
      </c>
      <c r="B97" s="44"/>
      <c r="C97" s="35"/>
      <c r="D97" s="35"/>
      <c r="E97" s="4">
        <v>45127</v>
      </c>
      <c r="F97" s="40"/>
      <c r="G97" s="40"/>
      <c r="H97" s="5">
        <v>11.48</v>
      </c>
      <c r="I97" s="102"/>
      <c r="J97" s="40"/>
      <c r="K97" s="40"/>
      <c r="L97" s="6">
        <v>25</v>
      </c>
      <c r="M97" s="6">
        <v>9</v>
      </c>
      <c r="N97" s="59">
        <f>(L97-M97)*0.7</f>
        <v>11.2</v>
      </c>
    </row>
    <row r="98" spans="1:15">
      <c r="A98" s="44" t="s">
        <v>336</v>
      </c>
      <c r="B98" s="44"/>
      <c r="C98" s="35"/>
      <c r="D98" s="35">
        <v>45278</v>
      </c>
      <c r="E98" s="4">
        <v>45278</v>
      </c>
      <c r="F98" s="40"/>
      <c r="G98" s="40"/>
      <c r="H98" s="5"/>
      <c r="I98" s="102"/>
      <c r="J98" s="40"/>
      <c r="K98" s="40"/>
      <c r="L98" s="6">
        <v>69</v>
      </c>
      <c r="M98" s="6">
        <v>43</v>
      </c>
      <c r="N98" s="59">
        <f>(69-43)*0.7/30*42</f>
        <v>25.48</v>
      </c>
    </row>
    <row r="99" spans="1:15">
      <c r="A99" s="44" t="s">
        <v>337</v>
      </c>
      <c r="B99" s="44"/>
      <c r="C99" s="35">
        <v>45342</v>
      </c>
      <c r="D99" s="35">
        <v>44977</v>
      </c>
      <c r="E99" s="4">
        <v>45342</v>
      </c>
      <c r="F99" s="40"/>
      <c r="G99" s="40"/>
      <c r="H99" s="5">
        <v>13.78</v>
      </c>
      <c r="I99" s="102"/>
      <c r="J99" s="40">
        <f>45+50</f>
        <v>95</v>
      </c>
      <c r="K99" s="40"/>
      <c r="L99" s="6">
        <v>119</v>
      </c>
      <c r="M99" s="6">
        <f>38+7+9</f>
        <v>54</v>
      </c>
      <c r="N99" s="59">
        <f t="shared" ref="N99:N120" si="2">(L99-M99)*0.7</f>
        <v>45.5</v>
      </c>
    </row>
    <row r="100" spans="1:15">
      <c r="A100" s="44" t="s">
        <v>338</v>
      </c>
      <c r="B100" s="44"/>
      <c r="C100" s="35">
        <v>45271</v>
      </c>
      <c r="D100" s="35"/>
      <c r="E100" s="4">
        <v>45301</v>
      </c>
      <c r="F100" s="40"/>
      <c r="G100" s="40"/>
      <c r="H100" s="5">
        <v>14.26</v>
      </c>
      <c r="I100" s="102">
        <f>25/30*29</f>
        <v>24.166666666666668</v>
      </c>
      <c r="J100" s="40">
        <f>30+50</f>
        <v>80</v>
      </c>
      <c r="K100" s="40"/>
      <c r="L100" s="6">
        <v>80</v>
      </c>
      <c r="M100" s="6">
        <v>29</v>
      </c>
      <c r="N100" s="59">
        <f t="shared" si="2"/>
        <v>35.699999999999996</v>
      </c>
      <c r="O100" t="s">
        <v>339</v>
      </c>
    </row>
    <row r="101" spans="1:15">
      <c r="A101" s="44" t="s">
        <v>333</v>
      </c>
      <c r="B101" s="44"/>
      <c r="C101" s="35"/>
      <c r="D101" s="35"/>
      <c r="E101" s="4">
        <v>45336</v>
      </c>
      <c r="F101" s="40"/>
      <c r="G101" s="40"/>
      <c r="H101" s="5">
        <v>10</v>
      </c>
      <c r="I101" s="102">
        <v>0</v>
      </c>
      <c r="J101" s="40">
        <v>120</v>
      </c>
      <c r="K101" s="40"/>
      <c r="L101" s="6">
        <v>160</v>
      </c>
      <c r="M101" s="6">
        <v>72</v>
      </c>
      <c r="N101" s="59">
        <f t="shared" si="2"/>
        <v>61.599999999999994</v>
      </c>
    </row>
    <row r="102" spans="1:15">
      <c r="A102" s="44" t="s">
        <v>343</v>
      </c>
      <c r="B102" s="44"/>
      <c r="C102" s="35"/>
      <c r="D102" s="35"/>
      <c r="E102" s="4">
        <v>45336</v>
      </c>
      <c r="F102" s="40"/>
      <c r="G102" s="40"/>
      <c r="H102" s="5">
        <v>10.92</v>
      </c>
      <c r="I102" s="102"/>
      <c r="J102" s="40"/>
      <c r="K102" s="40"/>
      <c r="L102" s="6">
        <v>59</v>
      </c>
      <c r="M102" s="6">
        <v>38</v>
      </c>
      <c r="N102" s="59">
        <f t="shared" si="2"/>
        <v>14.7</v>
      </c>
    </row>
    <row r="103" spans="1:15">
      <c r="A103" s="44" t="s">
        <v>381</v>
      </c>
      <c r="B103" s="44"/>
      <c r="C103" s="35"/>
      <c r="D103" s="35">
        <v>45323</v>
      </c>
      <c r="E103" s="4">
        <v>45323</v>
      </c>
      <c r="F103" s="40"/>
      <c r="G103" s="40"/>
      <c r="H103" s="5">
        <v>10.92</v>
      </c>
      <c r="I103" s="102"/>
      <c r="J103" s="40"/>
      <c r="K103" s="40"/>
      <c r="L103" s="6">
        <v>59</v>
      </c>
      <c r="M103" s="6">
        <v>38</v>
      </c>
      <c r="N103" s="59">
        <f t="shared" si="2"/>
        <v>14.7</v>
      </c>
    </row>
    <row r="104" spans="1:15">
      <c r="A104" s="44" t="s">
        <v>345</v>
      </c>
      <c r="B104" s="44"/>
      <c r="C104" s="35"/>
      <c r="D104" s="35"/>
      <c r="E104" s="4">
        <v>45345</v>
      </c>
      <c r="F104" s="40"/>
      <c r="G104" s="40"/>
      <c r="H104" s="5">
        <v>24.2</v>
      </c>
      <c r="I104" s="102"/>
      <c r="J104" s="40">
        <v>45</v>
      </c>
      <c r="K104" s="40"/>
      <c r="L104" s="6">
        <v>90</v>
      </c>
      <c r="M104" s="6">
        <f>7+9</f>
        <v>16</v>
      </c>
      <c r="N104" s="59">
        <f t="shared" si="2"/>
        <v>51.8</v>
      </c>
    </row>
    <row r="105" spans="1:15">
      <c r="A105" s="44" t="s">
        <v>346</v>
      </c>
      <c r="B105" s="44"/>
      <c r="C105" s="35"/>
      <c r="D105" s="35"/>
      <c r="E105" s="4">
        <v>45334</v>
      </c>
      <c r="F105" s="40"/>
      <c r="G105" s="40"/>
      <c r="H105" s="5">
        <v>12.01</v>
      </c>
      <c r="I105" s="102"/>
      <c r="J105" s="40">
        <v>15</v>
      </c>
      <c r="K105" s="40"/>
      <c r="L105" s="6">
        <v>20</v>
      </c>
      <c r="M105" s="6">
        <v>9</v>
      </c>
      <c r="N105" s="70">
        <f t="shared" si="2"/>
        <v>7.6999999999999993</v>
      </c>
    </row>
    <row r="106" spans="1:15">
      <c r="A106" s="44" t="s">
        <v>361</v>
      </c>
      <c r="B106" s="44"/>
      <c r="C106" s="35"/>
      <c r="D106" s="35">
        <v>45366</v>
      </c>
      <c r="E106" s="4">
        <v>45385</v>
      </c>
      <c r="F106" s="40"/>
      <c r="G106" s="40"/>
      <c r="H106" s="5"/>
      <c r="I106" s="102">
        <f>69/30*18</f>
        <v>41.4</v>
      </c>
      <c r="J106" s="40"/>
      <c r="K106" s="40"/>
      <c r="L106" s="6">
        <v>69</v>
      </c>
      <c r="M106" s="6">
        <v>43</v>
      </c>
      <c r="N106" s="70">
        <f t="shared" si="2"/>
        <v>18.2</v>
      </c>
    </row>
    <row r="107" spans="1:15">
      <c r="A107" s="44" t="s">
        <v>365</v>
      </c>
      <c r="B107" s="44"/>
      <c r="C107" s="35"/>
      <c r="D107" s="35">
        <v>45450</v>
      </c>
      <c r="E107" s="4">
        <v>45456</v>
      </c>
      <c r="F107" s="40"/>
      <c r="G107" s="40"/>
      <c r="H107" s="5"/>
      <c r="I107" s="102">
        <f>47/30*5</f>
        <v>7.833333333333333</v>
      </c>
      <c r="J107" s="40"/>
      <c r="K107" s="40"/>
      <c r="L107" s="6">
        <v>69</v>
      </c>
      <c r="M107" s="6">
        <v>47</v>
      </c>
      <c r="N107" s="59">
        <f t="shared" si="2"/>
        <v>15.399999999999999</v>
      </c>
    </row>
    <row r="108" spans="1:15">
      <c r="A108" s="44" t="s">
        <v>358</v>
      </c>
      <c r="B108" s="44"/>
      <c r="C108" s="35"/>
      <c r="D108" s="35">
        <v>45468</v>
      </c>
      <c r="E108" s="4">
        <v>45468</v>
      </c>
      <c r="F108" s="40"/>
      <c r="G108" s="40"/>
      <c r="H108" s="5">
        <v>12.01</v>
      </c>
      <c r="I108" s="102"/>
      <c r="J108" s="40"/>
      <c r="K108" s="40"/>
      <c r="L108" s="6">
        <v>59</v>
      </c>
      <c r="M108" s="6">
        <v>38</v>
      </c>
      <c r="N108" s="59">
        <f t="shared" si="2"/>
        <v>14.7</v>
      </c>
    </row>
    <row r="109" spans="1:15">
      <c r="A109" s="44" t="s">
        <v>218</v>
      </c>
      <c r="B109" s="44"/>
      <c r="C109" s="35"/>
      <c r="D109" s="35">
        <v>45456</v>
      </c>
      <c r="E109" s="4">
        <v>45456</v>
      </c>
      <c r="F109" s="40"/>
      <c r="G109" s="40"/>
      <c r="H109" s="5">
        <v>10</v>
      </c>
      <c r="I109" s="102"/>
      <c r="J109" s="40">
        <v>45</v>
      </c>
      <c r="K109" s="40"/>
      <c r="L109" s="6">
        <v>80</v>
      </c>
      <c r="M109" s="6">
        <v>27</v>
      </c>
      <c r="N109" s="59">
        <f t="shared" si="2"/>
        <v>37.099999999999994</v>
      </c>
    </row>
    <row r="110" spans="1:15">
      <c r="A110" s="44" t="s">
        <v>366</v>
      </c>
      <c r="B110" s="44"/>
      <c r="C110" s="35"/>
      <c r="D110" s="35">
        <v>45454</v>
      </c>
      <c r="E110" s="4"/>
      <c r="F110" s="40"/>
      <c r="G110" s="40"/>
      <c r="H110" s="5"/>
      <c r="I110" s="102"/>
      <c r="J110" s="40"/>
      <c r="K110" s="40"/>
      <c r="L110" s="6">
        <v>59</v>
      </c>
      <c r="M110" s="6">
        <v>38</v>
      </c>
      <c r="N110" s="59">
        <f t="shared" si="2"/>
        <v>14.7</v>
      </c>
    </row>
    <row r="111" spans="1:15">
      <c r="A111" s="44" t="s">
        <v>64</v>
      </c>
      <c r="B111" s="44"/>
      <c r="C111" s="35"/>
      <c r="D111" s="35">
        <v>45469</v>
      </c>
      <c r="E111" s="4">
        <v>45469</v>
      </c>
      <c r="F111" s="40"/>
      <c r="G111" s="40"/>
      <c r="H111" s="5"/>
      <c r="I111" s="102"/>
      <c r="J111" s="40"/>
      <c r="K111" s="40"/>
      <c r="L111" s="6">
        <v>100</v>
      </c>
      <c r="M111" s="18">
        <v>5</v>
      </c>
      <c r="N111" s="59">
        <f t="shared" si="2"/>
        <v>66.5</v>
      </c>
    </row>
    <row r="112" spans="1:15">
      <c r="A112" s="44" t="s">
        <v>369</v>
      </c>
      <c r="B112" s="44"/>
      <c r="C112" s="35"/>
      <c r="D112" s="35">
        <v>45464</v>
      </c>
      <c r="E112" s="4">
        <v>41811</v>
      </c>
      <c r="F112" s="40"/>
      <c r="G112" s="40"/>
      <c r="H112" s="5">
        <v>24.98</v>
      </c>
      <c r="I112" s="102"/>
      <c r="J112" s="40">
        <v>15</v>
      </c>
      <c r="K112" s="40"/>
      <c r="L112" s="6">
        <v>80</v>
      </c>
      <c r="M112" s="6">
        <v>42.5</v>
      </c>
      <c r="N112" s="59">
        <f t="shared" si="2"/>
        <v>26.25</v>
      </c>
    </row>
    <row r="113" spans="1:14">
      <c r="A113" s="44" t="s">
        <v>370</v>
      </c>
      <c r="B113" s="44"/>
      <c r="C113" s="35"/>
      <c r="D113" s="35">
        <v>45444</v>
      </c>
      <c r="E113" s="4">
        <v>41791</v>
      </c>
      <c r="F113" s="40"/>
      <c r="G113" s="40"/>
      <c r="H113" s="5">
        <v>12.98</v>
      </c>
      <c r="I113" s="102"/>
      <c r="J113" s="40">
        <v>30</v>
      </c>
      <c r="K113" s="40"/>
      <c r="L113" s="6">
        <v>65</v>
      </c>
      <c r="M113" s="6">
        <v>18</v>
      </c>
      <c r="N113" s="59">
        <f t="shared" si="2"/>
        <v>32.9</v>
      </c>
    </row>
    <row r="114" spans="1:14">
      <c r="A114" s="44" t="s">
        <v>375</v>
      </c>
      <c r="B114" s="44"/>
      <c r="C114" s="35"/>
      <c r="D114" s="35">
        <v>45471</v>
      </c>
      <c r="E114" s="35">
        <v>45471</v>
      </c>
      <c r="F114" s="40"/>
      <c r="G114" s="40"/>
      <c r="H114" s="5">
        <f>10+12.01</f>
        <v>22.009999999999998</v>
      </c>
      <c r="I114" s="102"/>
      <c r="J114" s="40">
        <v>30</v>
      </c>
      <c r="K114" s="40"/>
      <c r="L114" s="6">
        <v>90</v>
      </c>
      <c r="M114" s="18">
        <f>38.5+1+18</f>
        <v>57.5</v>
      </c>
      <c r="N114" s="70">
        <f t="shared" si="2"/>
        <v>22.75</v>
      </c>
    </row>
    <row r="115" spans="1:14">
      <c r="A115" s="44" t="s">
        <v>83</v>
      </c>
      <c r="B115" s="44"/>
      <c r="C115" s="35"/>
      <c r="D115" s="35">
        <v>45482</v>
      </c>
      <c r="E115" s="35">
        <v>45482</v>
      </c>
      <c r="F115" s="40"/>
      <c r="G115" s="40"/>
      <c r="H115" s="5"/>
      <c r="I115" s="102"/>
      <c r="J115" s="40"/>
      <c r="K115" s="40"/>
      <c r="L115" s="6">
        <v>69</v>
      </c>
      <c r="M115" s="18">
        <v>43</v>
      </c>
      <c r="N115" s="70">
        <f t="shared" si="2"/>
        <v>18.2</v>
      </c>
    </row>
    <row r="116" spans="1:14">
      <c r="A116" s="44" t="s">
        <v>383</v>
      </c>
      <c r="B116" s="44"/>
      <c r="C116" s="35"/>
      <c r="D116" s="35">
        <v>45434</v>
      </c>
      <c r="E116" s="35">
        <v>45513</v>
      </c>
      <c r="F116" s="40"/>
      <c r="G116" s="40"/>
      <c r="H116" s="5">
        <v>14.58</v>
      </c>
      <c r="I116" s="102"/>
      <c r="J116" s="40"/>
      <c r="K116" s="40"/>
      <c r="L116" s="6">
        <v>69</v>
      </c>
      <c r="M116" s="18">
        <v>43</v>
      </c>
      <c r="N116" s="70">
        <f t="shared" si="2"/>
        <v>18.2</v>
      </c>
    </row>
    <row r="117" spans="1:14">
      <c r="A117" s="44" t="s">
        <v>384</v>
      </c>
      <c r="B117" s="44"/>
      <c r="C117" s="35"/>
      <c r="D117" s="35"/>
      <c r="E117" s="35">
        <v>45513</v>
      </c>
      <c r="F117" s="40"/>
      <c r="G117" s="40"/>
      <c r="H117" s="5"/>
      <c r="I117" s="102"/>
      <c r="J117" s="40">
        <v>60</v>
      </c>
      <c r="K117" s="40"/>
      <c r="L117" s="6">
        <v>115</v>
      </c>
      <c r="M117" s="6">
        <v>37</v>
      </c>
      <c r="N117" s="70">
        <f t="shared" si="2"/>
        <v>54.599999999999994</v>
      </c>
    </row>
    <row r="118" spans="1:14">
      <c r="A118" s="44" t="s">
        <v>389</v>
      </c>
      <c r="B118" s="44"/>
      <c r="C118" s="35"/>
      <c r="D118" s="35">
        <v>45574</v>
      </c>
      <c r="E118" s="35">
        <v>45574</v>
      </c>
      <c r="F118" s="40"/>
      <c r="G118" s="40"/>
      <c r="H118" s="5"/>
      <c r="I118" s="102"/>
      <c r="J118" s="40"/>
      <c r="K118" s="40"/>
      <c r="L118" s="6">
        <v>10</v>
      </c>
      <c r="M118" s="6">
        <v>1</v>
      </c>
      <c r="N118" s="59">
        <f t="shared" si="2"/>
        <v>6.3</v>
      </c>
    </row>
    <row r="119" spans="1:14">
      <c r="A119" s="44" t="s">
        <v>397</v>
      </c>
      <c r="B119" s="44"/>
      <c r="C119" s="35"/>
      <c r="D119" s="35">
        <v>45510</v>
      </c>
      <c r="E119" s="35">
        <v>45574</v>
      </c>
      <c r="F119" s="40"/>
      <c r="G119" s="40"/>
      <c r="H119" s="5">
        <v>31.89</v>
      </c>
      <c r="I119" s="102">
        <f>79/30*63*0.5</f>
        <v>82.95</v>
      </c>
      <c r="J119" s="40">
        <v>60</v>
      </c>
      <c r="K119" s="40"/>
      <c r="L119" s="6">
        <v>174</v>
      </c>
      <c r="M119" s="6">
        <v>79</v>
      </c>
      <c r="N119" s="59">
        <f t="shared" si="2"/>
        <v>66.5</v>
      </c>
    </row>
    <row r="120" spans="1:14">
      <c r="A120" s="44" t="s">
        <v>398</v>
      </c>
      <c r="B120" s="44"/>
      <c r="C120" s="35"/>
      <c r="D120" s="35">
        <v>45516</v>
      </c>
      <c r="E120" s="35">
        <v>45583</v>
      </c>
      <c r="F120" s="40"/>
      <c r="G120" s="40"/>
      <c r="H120" s="5"/>
      <c r="I120" s="102">
        <f>56.5/30*66*0.5</f>
        <v>62.15</v>
      </c>
      <c r="J120" s="40">
        <v>75</v>
      </c>
      <c r="K120" s="40"/>
      <c r="L120" s="6">
        <v>121.8</v>
      </c>
      <c r="M120" s="6">
        <v>47.5</v>
      </c>
      <c r="N120" s="59">
        <f t="shared" si="2"/>
        <v>52.01</v>
      </c>
    </row>
    <row r="121" spans="1:14">
      <c r="A121" s="44" t="s">
        <v>390</v>
      </c>
      <c r="B121" s="44"/>
      <c r="C121" s="35"/>
      <c r="D121" s="35">
        <v>45573</v>
      </c>
      <c r="E121" s="35">
        <v>45621</v>
      </c>
      <c r="F121" s="40"/>
      <c r="G121" s="40"/>
      <c r="H121" s="5">
        <v>16.940000000000001</v>
      </c>
      <c r="I121" s="102">
        <f>47.5/30*47</f>
        <v>74.416666666666657</v>
      </c>
      <c r="J121" s="40">
        <v>60</v>
      </c>
      <c r="K121" s="40"/>
      <c r="L121" s="6">
        <v>130</v>
      </c>
      <c r="M121" s="6">
        <v>63.5</v>
      </c>
      <c r="N121" s="59">
        <f>(L121-M121)*0.7</f>
        <v>46.55</v>
      </c>
    </row>
    <row r="122" spans="1:14">
      <c r="A122" s="44" t="s">
        <v>406</v>
      </c>
      <c r="B122" s="44"/>
      <c r="C122" s="35">
        <v>45624</v>
      </c>
      <c r="D122" s="35">
        <v>45631</v>
      </c>
      <c r="E122" s="35">
        <v>45631</v>
      </c>
      <c r="F122" s="40"/>
      <c r="G122" s="40"/>
      <c r="H122" s="5">
        <v>13.98</v>
      </c>
      <c r="I122" s="102"/>
      <c r="J122" s="40">
        <v>15</v>
      </c>
      <c r="K122" s="40"/>
      <c r="L122" s="6">
        <v>59</v>
      </c>
      <c r="M122" s="6">
        <v>38</v>
      </c>
      <c r="N122" s="59">
        <f>(L122-M122)*0.7</f>
        <v>14.7</v>
      </c>
    </row>
    <row r="123" spans="1:14">
      <c r="A123" s="44" t="s">
        <v>410</v>
      </c>
      <c r="B123" s="44"/>
      <c r="C123" s="35"/>
      <c r="D123" s="35"/>
      <c r="E123" s="35">
        <v>45613</v>
      </c>
      <c r="F123" s="40"/>
      <c r="G123" s="40"/>
      <c r="H123" s="5">
        <v>10</v>
      </c>
      <c r="I123" s="102">
        <f>-(14*14+14/30*13)</f>
        <v>-202.06666666666666</v>
      </c>
      <c r="J123" s="40">
        <v>15</v>
      </c>
      <c r="K123" s="40"/>
      <c r="L123" s="6">
        <v>30</v>
      </c>
      <c r="M123" s="6">
        <v>10</v>
      </c>
      <c r="N123" s="59">
        <f t="shared" ref="N123:N134" si="3">(L123-M123)*0.7</f>
        <v>14</v>
      </c>
    </row>
    <row r="124" spans="1:14">
      <c r="A124" s="44" t="s">
        <v>402</v>
      </c>
      <c r="B124" s="44"/>
      <c r="C124" s="35"/>
      <c r="D124" s="35">
        <v>45637</v>
      </c>
      <c r="E124" s="35">
        <v>45698</v>
      </c>
      <c r="F124" s="40"/>
      <c r="G124" s="40"/>
      <c r="H124" s="5">
        <v>13.98</v>
      </c>
      <c r="I124" s="102">
        <f>45/30*59</f>
        <v>88.5</v>
      </c>
      <c r="J124" s="40">
        <v>30</v>
      </c>
      <c r="K124" s="40"/>
      <c r="L124" s="6">
        <v>120</v>
      </c>
      <c r="M124" s="6">
        <v>45</v>
      </c>
      <c r="N124" s="59">
        <f t="shared" si="3"/>
        <v>52.5</v>
      </c>
    </row>
    <row r="125" spans="1:14">
      <c r="A125" s="44" t="s">
        <v>392</v>
      </c>
      <c r="B125" s="44"/>
      <c r="C125" s="35"/>
      <c r="D125" s="35"/>
      <c r="E125" s="35">
        <v>45694</v>
      </c>
      <c r="F125" s="40"/>
      <c r="G125" s="40"/>
      <c r="H125" s="5">
        <v>31.89</v>
      </c>
      <c r="I125" s="102" t="s">
        <v>414</v>
      </c>
      <c r="J125" s="40">
        <v>75</v>
      </c>
      <c r="K125" s="40"/>
      <c r="L125" s="6">
        <v>145</v>
      </c>
      <c r="M125" s="6">
        <v>72</v>
      </c>
      <c r="N125" s="59">
        <f t="shared" si="3"/>
        <v>51.099999999999994</v>
      </c>
    </row>
    <row r="126" spans="1:14">
      <c r="A126" s="44" t="s">
        <v>413</v>
      </c>
      <c r="B126" s="44"/>
      <c r="C126" s="35"/>
      <c r="D126" s="35"/>
      <c r="E126" s="35">
        <v>45730</v>
      </c>
      <c r="F126" s="40"/>
      <c r="G126" s="40"/>
      <c r="H126" s="5">
        <v>15.34</v>
      </c>
      <c r="I126" s="102"/>
      <c r="J126" s="40"/>
      <c r="K126" s="40"/>
      <c r="L126" s="6">
        <v>80</v>
      </c>
      <c r="M126" s="6">
        <v>28</v>
      </c>
      <c r="N126" s="59">
        <f t="shared" si="3"/>
        <v>36.4</v>
      </c>
    </row>
    <row r="127" spans="1:14">
      <c r="A127" s="44" t="s">
        <v>418</v>
      </c>
      <c r="B127" s="44"/>
      <c r="C127" s="35"/>
      <c r="D127" s="35"/>
      <c r="E127" s="35">
        <v>45737</v>
      </c>
      <c r="F127" s="40"/>
      <c r="G127" s="40"/>
      <c r="H127" s="5">
        <v>32.17</v>
      </c>
      <c r="I127" s="102"/>
      <c r="J127" s="40">
        <v>90</v>
      </c>
      <c r="K127" s="40"/>
      <c r="L127" s="6">
        <v>150</v>
      </c>
      <c r="M127" s="6">
        <v>43</v>
      </c>
      <c r="N127" s="59">
        <f t="shared" si="3"/>
        <v>74.899999999999991</v>
      </c>
    </row>
    <row r="128" spans="1:14">
      <c r="A128" s="44" t="s">
        <v>417</v>
      </c>
      <c r="B128" s="44"/>
      <c r="C128" s="35"/>
      <c r="D128" s="35"/>
      <c r="E128" s="35">
        <v>45687</v>
      </c>
      <c r="F128" s="40"/>
      <c r="G128" s="40"/>
      <c r="H128" s="5"/>
      <c r="I128" s="102"/>
      <c r="J128" s="40">
        <v>40</v>
      </c>
      <c r="K128" s="40"/>
      <c r="L128" s="6">
        <v>59</v>
      </c>
      <c r="M128" s="6">
        <v>43</v>
      </c>
      <c r="N128" s="59">
        <f t="shared" si="3"/>
        <v>11.2</v>
      </c>
    </row>
    <row r="129" spans="1:14">
      <c r="A129" s="44" t="s">
        <v>423</v>
      </c>
      <c r="B129" s="44"/>
      <c r="C129" s="35"/>
      <c r="D129" s="35"/>
      <c r="E129" s="35">
        <v>45714</v>
      </c>
      <c r="F129" s="40"/>
      <c r="G129" s="40"/>
      <c r="H129" s="5"/>
      <c r="I129" s="102"/>
      <c r="J129" s="40"/>
      <c r="K129" s="40"/>
      <c r="L129" s="6">
        <v>50</v>
      </c>
      <c r="M129" s="6">
        <v>41</v>
      </c>
      <c r="N129" s="59">
        <f t="shared" si="3"/>
        <v>6.3</v>
      </c>
    </row>
    <row r="130" spans="1:14">
      <c r="A130" s="44" t="s">
        <v>424</v>
      </c>
      <c r="B130" s="44"/>
      <c r="C130" s="35"/>
      <c r="D130" s="35"/>
      <c r="E130" s="35">
        <v>45750</v>
      </c>
      <c r="F130" s="40"/>
      <c r="G130" s="40"/>
      <c r="H130" s="5">
        <v>15.34</v>
      </c>
      <c r="I130" s="102"/>
      <c r="J130" s="40">
        <v>30</v>
      </c>
      <c r="K130" s="40"/>
      <c r="L130" s="6">
        <v>45</v>
      </c>
      <c r="M130" s="6">
        <v>7</v>
      </c>
      <c r="N130" s="59">
        <f t="shared" si="3"/>
        <v>26.599999999999998</v>
      </c>
    </row>
    <row r="131" spans="1:14">
      <c r="A131" s="44" t="s">
        <v>425</v>
      </c>
      <c r="B131" s="44"/>
      <c r="C131" s="35"/>
      <c r="D131" s="35"/>
      <c r="E131" s="35">
        <v>45765</v>
      </c>
      <c r="F131" s="40"/>
      <c r="G131" s="40"/>
      <c r="H131" s="5">
        <v>14.54</v>
      </c>
      <c r="I131" s="102"/>
      <c r="J131" s="40"/>
      <c r="K131" s="40"/>
      <c r="L131" s="6">
        <v>220</v>
      </c>
      <c r="M131" s="6">
        <v>99</v>
      </c>
      <c r="N131" s="59">
        <f t="shared" si="3"/>
        <v>84.699999999999989</v>
      </c>
    </row>
    <row r="132" spans="1:14">
      <c r="A132" s="44" t="s">
        <v>441</v>
      </c>
      <c r="B132" s="44"/>
      <c r="C132" s="35"/>
      <c r="D132" s="35"/>
      <c r="E132" s="35">
        <v>45853</v>
      </c>
      <c r="F132" s="40"/>
      <c r="G132" s="40"/>
      <c r="H132" s="5">
        <v>12.44</v>
      </c>
      <c r="I132" s="102"/>
      <c r="J132" s="40"/>
      <c r="K132" s="40"/>
      <c r="L132" s="6">
        <v>59</v>
      </c>
      <c r="M132" s="6">
        <v>38</v>
      </c>
      <c r="N132" s="59">
        <f t="shared" si="3"/>
        <v>14.7</v>
      </c>
    </row>
    <row r="133" spans="1:14">
      <c r="A133" s="44" t="s">
        <v>408</v>
      </c>
      <c r="B133" s="44"/>
      <c r="C133" s="35"/>
      <c r="D133" s="35"/>
      <c r="E133" s="35"/>
      <c r="F133" s="40"/>
      <c r="G133" s="40"/>
      <c r="H133" s="5"/>
      <c r="I133" s="102"/>
      <c r="J133" s="40"/>
      <c r="K133" s="40"/>
      <c r="L133" s="6">
        <v>69</v>
      </c>
      <c r="M133" s="6">
        <v>38</v>
      </c>
      <c r="N133" s="59">
        <f t="shared" si="3"/>
        <v>21.7</v>
      </c>
    </row>
    <row r="134" spans="1:14">
      <c r="A134" s="44" t="s">
        <v>462</v>
      </c>
      <c r="B134" s="44"/>
      <c r="C134" s="35"/>
      <c r="D134" s="35"/>
      <c r="E134" s="35"/>
      <c r="F134" s="40"/>
      <c r="G134" s="40"/>
      <c r="H134" s="5"/>
      <c r="I134" s="102"/>
      <c r="J134" s="40"/>
      <c r="K134" s="40"/>
      <c r="L134" s="6">
        <v>40</v>
      </c>
      <c r="M134" s="6">
        <v>7</v>
      </c>
      <c r="N134" s="59">
        <f t="shared" si="3"/>
        <v>23.099999999999998</v>
      </c>
    </row>
    <row r="135" spans="1:14">
      <c r="A135" s="44" t="s">
        <v>470</v>
      </c>
      <c r="B135" s="44"/>
      <c r="C135" s="35"/>
      <c r="D135" s="35"/>
      <c r="E135" s="35">
        <v>45875</v>
      </c>
      <c r="F135" s="40"/>
      <c r="G135" s="40"/>
      <c r="H135" s="5">
        <v>12.44</v>
      </c>
      <c r="I135" s="102"/>
      <c r="J135" s="40"/>
      <c r="K135" s="40"/>
      <c r="L135" s="6">
        <v>59</v>
      </c>
      <c r="M135" s="6">
        <v>38</v>
      </c>
      <c r="N135" s="59">
        <f>(L135-M135)*0.7</f>
        <v>14.7</v>
      </c>
    </row>
    <row r="136" spans="1:14">
      <c r="A136" s="44" t="s">
        <v>469</v>
      </c>
      <c r="B136" s="44"/>
      <c r="C136" s="35"/>
      <c r="D136" s="35"/>
      <c r="E136" s="35">
        <v>45875</v>
      </c>
      <c r="F136" s="40"/>
      <c r="G136" s="40"/>
      <c r="H136" s="5">
        <v>12.44</v>
      </c>
      <c r="I136" s="102"/>
      <c r="J136" s="40"/>
      <c r="K136" s="40"/>
      <c r="L136" s="6">
        <v>59</v>
      </c>
      <c r="M136" s="6">
        <v>38</v>
      </c>
      <c r="N136" s="59">
        <f>(L136-M136)*0.7</f>
        <v>14.7</v>
      </c>
    </row>
    <row r="137" spans="1:14">
      <c r="A137" s="44" t="s">
        <v>471</v>
      </c>
      <c r="B137" s="44"/>
      <c r="C137" s="35"/>
      <c r="D137" s="35"/>
      <c r="E137" s="35">
        <v>45908</v>
      </c>
      <c r="F137" s="40"/>
      <c r="G137" s="40"/>
      <c r="H137" s="5">
        <v>12.44</v>
      </c>
      <c r="I137" s="102"/>
      <c r="J137" s="40"/>
      <c r="K137" s="40"/>
      <c r="L137" s="6">
        <v>59</v>
      </c>
      <c r="M137" s="6">
        <v>38</v>
      </c>
      <c r="N137" s="59">
        <f>(L137-M137)*0.7</f>
        <v>14.7</v>
      </c>
    </row>
    <row r="138" spans="1:14">
      <c r="A138" s="10" t="s">
        <v>64</v>
      </c>
      <c r="B138" s="44"/>
      <c r="C138" s="35"/>
      <c r="D138" s="35"/>
      <c r="E138" s="35">
        <v>45951</v>
      </c>
      <c r="F138" s="40"/>
      <c r="G138" s="40"/>
      <c r="H138" s="5">
        <v>13.54</v>
      </c>
      <c r="I138" s="102"/>
      <c r="J138" s="40"/>
      <c r="K138" s="40"/>
      <c r="L138" s="6">
        <v>59</v>
      </c>
      <c r="M138" s="6">
        <v>38</v>
      </c>
      <c r="N138" s="59">
        <f>(L138-M138)*0.7/30*9</f>
        <v>4.41</v>
      </c>
    </row>
    <row r="139" spans="1:14">
      <c r="A139" s="10" t="s">
        <v>490</v>
      </c>
      <c r="B139" s="44"/>
      <c r="C139" s="35"/>
      <c r="D139" s="35"/>
      <c r="E139" s="35">
        <v>45943</v>
      </c>
      <c r="F139" s="40"/>
      <c r="G139" s="40"/>
      <c r="H139" s="5">
        <v>13.44</v>
      </c>
      <c r="I139" s="102"/>
      <c r="J139" s="40"/>
      <c r="K139" s="40"/>
      <c r="L139" s="6">
        <v>69</v>
      </c>
      <c r="M139" s="6">
        <v>38</v>
      </c>
      <c r="N139" s="59">
        <f>(L139-M139)*0.7/30*17</f>
        <v>12.296666666666665</v>
      </c>
    </row>
    <row r="140" spans="1:14">
      <c r="A140" s="10" t="s">
        <v>493</v>
      </c>
      <c r="B140" s="44"/>
      <c r="C140" s="35"/>
      <c r="D140" s="35"/>
      <c r="E140" s="35">
        <v>45890</v>
      </c>
      <c r="F140" s="40"/>
      <c r="G140" s="40"/>
      <c r="H140" s="5">
        <v>13.44</v>
      </c>
      <c r="I140" s="102"/>
      <c r="J140" s="40"/>
      <c r="K140" s="40"/>
      <c r="L140" s="6">
        <v>59</v>
      </c>
      <c r="M140" s="6">
        <v>38</v>
      </c>
      <c r="N140" s="59">
        <f>(L140-M140)*0.7/30*69</f>
        <v>33.81</v>
      </c>
    </row>
    <row r="141" spans="1:14">
      <c r="A141" s="10" t="s">
        <v>496</v>
      </c>
      <c r="B141" s="44"/>
      <c r="C141" s="35"/>
      <c r="D141" s="35"/>
      <c r="E141" s="35">
        <v>42297</v>
      </c>
      <c r="F141" s="40"/>
      <c r="G141" s="40"/>
      <c r="H141" s="5">
        <v>12.44</v>
      </c>
      <c r="I141" s="102"/>
      <c r="J141" s="40">
        <v>60</v>
      </c>
      <c r="K141" s="40"/>
      <c r="L141" s="6">
        <v>60</v>
      </c>
      <c r="M141" s="6">
        <v>25</v>
      </c>
      <c r="N141" s="59">
        <f>(L141-M141)*0.7/30*10</f>
        <v>8.1666666666666661</v>
      </c>
    </row>
    <row r="142" spans="1:14">
      <c r="A142" s="10" t="s">
        <v>497</v>
      </c>
      <c r="B142" s="44"/>
      <c r="C142" s="35"/>
      <c r="D142" s="35"/>
      <c r="E142" s="35">
        <v>45755</v>
      </c>
      <c r="F142" s="40"/>
      <c r="G142" s="40"/>
      <c r="H142" s="5">
        <v>12.44</v>
      </c>
      <c r="I142" s="102"/>
      <c r="J142" s="40"/>
      <c r="K142" s="40"/>
      <c r="L142" s="6">
        <v>59</v>
      </c>
      <c r="M142" s="6">
        <v>38</v>
      </c>
      <c r="N142" s="59">
        <f>(L142-M142)*0.7/30*202</f>
        <v>98.98</v>
      </c>
    </row>
    <row r="143" spans="1:14">
      <c r="A143" s="10" t="s">
        <v>500</v>
      </c>
      <c r="B143" s="44"/>
      <c r="C143" s="35"/>
      <c r="D143" s="35"/>
      <c r="E143" s="35">
        <v>45874</v>
      </c>
      <c r="F143" s="40"/>
      <c r="G143" s="40"/>
      <c r="H143" s="5">
        <v>14.54</v>
      </c>
      <c r="I143" s="102"/>
      <c r="J143" s="40"/>
      <c r="K143" s="40"/>
      <c r="L143" s="6">
        <v>75</v>
      </c>
      <c r="M143" s="6">
        <f>38+3.5</f>
        <v>41.5</v>
      </c>
      <c r="N143" s="59">
        <f>(L143-M143)*0.7/30*85</f>
        <v>66.441666666666663</v>
      </c>
    </row>
    <row r="144" spans="1:14">
      <c r="C144" s="36"/>
      <c r="D144" s="36"/>
      <c r="F144" s="28"/>
      <c r="G144" s="28"/>
      <c r="H144" s="30"/>
      <c r="I144" s="30"/>
      <c r="M144" s="62" t="s">
        <v>4</v>
      </c>
      <c r="N144" s="18">
        <f>SUM(N2:N143)</f>
        <v>5016.2449999999981</v>
      </c>
    </row>
    <row r="145" spans="1:16">
      <c r="C145" s="36"/>
      <c r="D145" s="36"/>
      <c r="F145" s="28"/>
      <c r="G145" s="28"/>
      <c r="H145" s="30"/>
      <c r="I145" s="104"/>
      <c r="M145" s="61" t="s">
        <v>251</v>
      </c>
      <c r="N145" s="6">
        <f>N144+M159</f>
        <v>5698.6749999999984</v>
      </c>
    </row>
    <row r="146" spans="1:16">
      <c r="C146" s="36"/>
      <c r="D146" s="36"/>
      <c r="F146" s="28"/>
      <c r="G146" s="28"/>
      <c r="H146" s="30"/>
      <c r="I146" s="104"/>
    </row>
    <row r="147" spans="1:16">
      <c r="M147" s="1"/>
    </row>
    <row r="148" spans="1:16">
      <c r="A148" s="28"/>
      <c r="B148" s="28"/>
      <c r="E148" s="15"/>
      <c r="F148" s="1"/>
      <c r="G148" s="1"/>
      <c r="H148" s="1"/>
      <c r="J148" s="1"/>
      <c r="K148" s="1"/>
      <c r="L148" t="s">
        <v>473</v>
      </c>
      <c r="M148" s="1">
        <v>184.3</v>
      </c>
      <c r="N148" s="66"/>
    </row>
    <row r="149" spans="1:16">
      <c r="A149" s="28"/>
      <c r="B149" s="28"/>
      <c r="E149" s="15"/>
      <c r="F149" s="1"/>
      <c r="G149" s="1"/>
      <c r="H149" s="1"/>
      <c r="J149" s="1"/>
      <c r="K149" s="1"/>
      <c r="L149" t="s">
        <v>504</v>
      </c>
      <c r="M149" s="1">
        <v>-139.84</v>
      </c>
      <c r="N149" s="66"/>
    </row>
    <row r="150" spans="1:16">
      <c r="L150" s="1" t="s">
        <v>489</v>
      </c>
      <c r="M150" s="1">
        <f>50*0.7</f>
        <v>35</v>
      </c>
    </row>
    <row r="151" spans="1:16">
      <c r="L151" s="69" t="s">
        <v>491</v>
      </c>
      <c r="M151">
        <f>160*0.7</f>
        <v>112</v>
      </c>
      <c r="P151" s="42"/>
    </row>
    <row r="152" spans="1:16">
      <c r="L152" s="1" t="s">
        <v>492</v>
      </c>
      <c r="M152" s="66">
        <v>-15.57</v>
      </c>
    </row>
    <row r="153" spans="1:16">
      <c r="L153" s="1" t="s">
        <v>494</v>
      </c>
      <c r="M153" s="66">
        <v>-57.12</v>
      </c>
    </row>
    <row r="154" spans="1:16">
      <c r="L154" s="1" t="s">
        <v>495</v>
      </c>
      <c r="M154" s="66">
        <f>-45*0.8</f>
        <v>-36</v>
      </c>
      <c r="N154" s="108"/>
      <c r="P154" s="42"/>
    </row>
    <row r="155" spans="1:16">
      <c r="L155" s="1" t="s">
        <v>498</v>
      </c>
      <c r="M155" s="66">
        <f>50*0.7</f>
        <v>35</v>
      </c>
    </row>
    <row r="156" spans="1:16">
      <c r="L156" s="1" t="s">
        <v>499</v>
      </c>
      <c r="M156" s="66">
        <v>-13.54</v>
      </c>
      <c r="N156" s="1"/>
      <c r="P156" s="42"/>
    </row>
    <row r="157" spans="1:16">
      <c r="L157" s="1" t="s">
        <v>501</v>
      </c>
      <c r="M157" s="66">
        <f>70*0.7</f>
        <v>49</v>
      </c>
      <c r="N157" s="1"/>
      <c r="P157" s="42"/>
    </row>
    <row r="158" spans="1:16">
      <c r="G158" t="s">
        <v>502</v>
      </c>
      <c r="L158" s="1"/>
      <c r="M158" s="66">
        <f>756*0.7</f>
        <v>529.19999999999993</v>
      </c>
      <c r="N158" s="1"/>
      <c r="P158" s="42"/>
    </row>
    <row r="159" spans="1:16">
      <c r="L159" s="1" t="s">
        <v>503</v>
      </c>
      <c r="M159" s="66">
        <f>SUM(M148:M158)</f>
        <v>682.43</v>
      </c>
      <c r="N159" s="1"/>
      <c r="P159" s="42"/>
    </row>
    <row r="160" spans="1:16">
      <c r="L160" s="1"/>
      <c r="N160" s="1"/>
      <c r="P160" s="42"/>
    </row>
    <row r="161" spans="12:16">
      <c r="L161" s="1"/>
      <c r="N161" s="1"/>
      <c r="P161" s="42"/>
    </row>
    <row r="162" spans="12:16">
      <c r="L162" s="1"/>
      <c r="N162" s="1"/>
      <c r="P162" s="42"/>
    </row>
    <row r="163" spans="12:16">
      <c r="L163" s="1"/>
    </row>
    <row r="164" spans="12:16">
      <c r="L164" s="1"/>
    </row>
  </sheetData>
  <autoFilter ref="A1:P145">
    <sortState ref="A2:P83">
      <sortCondition ref="B1:B83"/>
    </sortState>
  </autoFilter>
  <pageMargins left="0.7" right="0.7" top="0.75" bottom="0.75" header="0.3" footer="0.3"/>
  <pageSetup paperSize="9" orientation="portrait" r:id="rId1"/>
</worksheet>
</file>

<file path=xl/worksheets/sheet103.xml><?xml version="1.0" encoding="utf-8"?>
<worksheet xmlns="http://schemas.openxmlformats.org/spreadsheetml/2006/main" xmlns:r="http://schemas.openxmlformats.org/officeDocument/2006/relationships">
  <dimension ref="A1:P161"/>
  <sheetViews>
    <sheetView topLeftCell="C133" workbookViewId="0">
      <selection activeCell="L160" sqref="L160:M160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2" max="12" width="19.140625" customWidth="1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28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45</v>
      </c>
      <c r="M3" s="61">
        <v>25</v>
      </c>
      <c r="N3" s="6">
        <f t="shared" si="0"/>
        <v>14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30</v>
      </c>
      <c r="M8" s="61">
        <v>7</v>
      </c>
      <c r="N8" s="6">
        <f t="shared" si="0"/>
        <v>16.099999999999998</v>
      </c>
    </row>
    <row r="9" spans="1:15">
      <c r="A9" s="2" t="s">
        <v>27</v>
      </c>
      <c r="B9" s="2"/>
      <c r="C9" s="4">
        <v>42656</v>
      </c>
      <c r="D9" s="4"/>
      <c r="E9" s="4">
        <v>42705</v>
      </c>
      <c r="F9" s="5"/>
      <c r="G9" s="49"/>
      <c r="H9" s="5">
        <v>8.17</v>
      </c>
      <c r="I9" s="102">
        <f>M9/30*47</f>
        <v>39.166666666666671</v>
      </c>
      <c r="J9" s="5"/>
      <c r="K9" s="5"/>
      <c r="L9" s="6">
        <v>40</v>
      </c>
      <c r="M9" s="62">
        <v>25</v>
      </c>
      <c r="N9" s="18">
        <f t="shared" si="0"/>
        <v>10.5</v>
      </c>
    </row>
    <row r="10" spans="1:15">
      <c r="A10" s="2" t="s">
        <v>29</v>
      </c>
      <c r="B10" s="2"/>
      <c r="C10" s="4">
        <v>42683</v>
      </c>
      <c r="D10" s="4"/>
      <c r="E10" s="4">
        <v>42718</v>
      </c>
      <c r="F10" s="5"/>
      <c r="G10" s="49"/>
      <c r="H10" s="5">
        <v>8.9700000000000006</v>
      </c>
      <c r="I10" s="102">
        <f>M10/30*35</f>
        <v>42</v>
      </c>
      <c r="J10" s="5"/>
      <c r="K10" s="5"/>
      <c r="L10" s="6">
        <f>105</f>
        <v>105</v>
      </c>
      <c r="M10" s="62">
        <v>36</v>
      </c>
      <c r="N10" s="18">
        <f t="shared" si="0"/>
        <v>48.3</v>
      </c>
    </row>
    <row r="11" spans="1:15">
      <c r="A11" s="2" t="s">
        <v>28</v>
      </c>
      <c r="B11" s="2"/>
      <c r="C11" s="4">
        <v>42711</v>
      </c>
      <c r="D11" s="4"/>
      <c r="E11" s="4">
        <v>42734</v>
      </c>
      <c r="F11" s="5"/>
      <c r="G11" s="49"/>
      <c r="H11" s="5">
        <v>8.17</v>
      </c>
      <c r="I11" s="102">
        <f>M11/30*23</f>
        <v>19.166666666666668</v>
      </c>
      <c r="J11" s="5"/>
      <c r="K11" s="5"/>
      <c r="L11" s="6">
        <v>40</v>
      </c>
      <c r="M11" s="62">
        <v>25</v>
      </c>
      <c r="N11" s="18">
        <f t="shared" si="0"/>
        <v>10.5</v>
      </c>
    </row>
    <row r="12" spans="1:15">
      <c r="A12" s="2" t="s">
        <v>32</v>
      </c>
      <c r="B12" s="2"/>
      <c r="C12" s="4">
        <v>42857</v>
      </c>
      <c r="D12" s="4"/>
      <c r="E12" s="4">
        <v>42866</v>
      </c>
      <c r="F12" s="5"/>
      <c r="G12" s="49"/>
      <c r="H12" s="5"/>
      <c r="I12" s="102">
        <f>23/30*9</f>
        <v>6.9</v>
      </c>
      <c r="J12" s="5">
        <f>60*0.7</f>
        <v>42</v>
      </c>
      <c r="K12" s="5"/>
      <c r="L12" s="6">
        <v>60</v>
      </c>
      <c r="M12" s="61">
        <v>23</v>
      </c>
      <c r="N12" s="6">
        <f t="shared" si="0"/>
        <v>25.9</v>
      </c>
    </row>
    <row r="13" spans="1:15">
      <c r="A13" s="2" t="s">
        <v>37</v>
      </c>
      <c r="B13" s="2"/>
      <c r="C13" s="4">
        <v>42891</v>
      </c>
      <c r="D13" s="4"/>
      <c r="E13" s="4">
        <v>42915</v>
      </c>
      <c r="F13" s="5"/>
      <c r="G13" s="49"/>
      <c r="H13" s="5">
        <v>6.83</v>
      </c>
      <c r="I13" s="102">
        <f>24/30*24</f>
        <v>19.200000000000003</v>
      </c>
      <c r="J13" s="5"/>
      <c r="K13" s="5"/>
      <c r="L13" s="6">
        <f>69+70</f>
        <v>139</v>
      </c>
      <c r="M13" s="61">
        <f>38+7+18</f>
        <v>63</v>
      </c>
      <c r="N13" s="6">
        <f t="shared" si="0"/>
        <v>53.199999999999996</v>
      </c>
    </row>
    <row r="14" spans="1:15">
      <c r="A14" s="2" t="s">
        <v>39</v>
      </c>
      <c r="B14" s="2"/>
      <c r="C14" s="4">
        <v>43081</v>
      </c>
      <c r="D14" s="4"/>
      <c r="E14" s="4">
        <v>43109</v>
      </c>
      <c r="F14" s="5"/>
      <c r="G14" s="49"/>
      <c r="H14" s="5">
        <v>9.83</v>
      </c>
      <c r="I14" s="102">
        <f>36/30*28</f>
        <v>33.6</v>
      </c>
      <c r="J14" s="5"/>
      <c r="K14" s="5"/>
      <c r="L14" s="6">
        <v>120</v>
      </c>
      <c r="M14" s="61">
        <v>36</v>
      </c>
      <c r="N14" s="6">
        <f t="shared" si="0"/>
        <v>58.8</v>
      </c>
    </row>
    <row r="15" spans="1:15">
      <c r="A15" s="22" t="s">
        <v>56</v>
      </c>
      <c r="B15" s="22"/>
      <c r="C15" s="4">
        <v>43361</v>
      </c>
      <c r="D15" s="4"/>
      <c r="E15" s="4">
        <v>43132</v>
      </c>
      <c r="F15" s="5"/>
      <c r="G15" s="49"/>
      <c r="H15" s="5">
        <v>14.11</v>
      </c>
      <c r="I15" s="102">
        <f>25*4+25/30*12</f>
        <v>110</v>
      </c>
      <c r="J15" s="5"/>
      <c r="K15" s="5"/>
      <c r="L15" s="6">
        <v>75</v>
      </c>
      <c r="M15" s="61">
        <v>25</v>
      </c>
      <c r="N15" s="6">
        <f t="shared" si="0"/>
        <v>35</v>
      </c>
    </row>
    <row r="16" spans="1:15">
      <c r="A16" s="2" t="s">
        <v>44</v>
      </c>
      <c r="B16" s="2"/>
      <c r="C16" s="4">
        <v>43196</v>
      </c>
      <c r="D16" s="4"/>
      <c r="E16" s="4">
        <v>43250</v>
      </c>
      <c r="F16" s="5"/>
      <c r="G16" s="49"/>
      <c r="H16" s="5">
        <v>13.78</v>
      </c>
      <c r="I16" s="102">
        <f>25*24/30+25</f>
        <v>45</v>
      </c>
      <c r="J16" s="5"/>
      <c r="K16" s="5"/>
      <c r="L16" s="6">
        <v>11</v>
      </c>
      <c r="M16" s="61">
        <v>25</v>
      </c>
      <c r="N16" s="6">
        <v>9.7999999999999989</v>
      </c>
    </row>
    <row r="17" spans="1:15">
      <c r="A17" s="22" t="s">
        <v>47</v>
      </c>
      <c r="B17" s="22"/>
      <c r="C17" s="4">
        <v>43355</v>
      </c>
      <c r="D17" s="4"/>
      <c r="E17" s="4">
        <v>43277</v>
      </c>
      <c r="F17" s="5"/>
      <c r="G17" s="49"/>
      <c r="H17" s="5">
        <v>19.98</v>
      </c>
      <c r="I17" s="102">
        <f>36*2+36/30*16</f>
        <v>91.2</v>
      </c>
      <c r="J17" s="5"/>
      <c r="K17" s="5"/>
      <c r="L17" s="6">
        <v>105</v>
      </c>
      <c r="M17" s="61">
        <v>36</v>
      </c>
      <c r="N17" s="6">
        <f t="shared" si="0"/>
        <v>48.3</v>
      </c>
    </row>
    <row r="18" spans="1:15">
      <c r="A18" s="22" t="s">
        <v>48</v>
      </c>
      <c r="B18" s="22"/>
      <c r="C18" s="4">
        <v>43367</v>
      </c>
      <c r="D18" s="4"/>
      <c r="E18" s="4">
        <v>43284</v>
      </c>
      <c r="F18" s="5"/>
      <c r="G18" s="49"/>
      <c r="H18" s="5">
        <v>9.1</v>
      </c>
      <c r="I18" s="102">
        <f>25+25/30*27</f>
        <v>47.5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45</v>
      </c>
      <c r="B19" s="2"/>
      <c r="C19" s="4"/>
      <c r="D19" s="4"/>
      <c r="E19" s="4">
        <v>43286</v>
      </c>
      <c r="F19" s="5"/>
      <c r="G19" s="49"/>
      <c r="H19" s="5">
        <v>11.56</v>
      </c>
      <c r="I19" s="102"/>
      <c r="J19" s="5"/>
      <c r="K19" s="5"/>
      <c r="L19" s="6">
        <v>150</v>
      </c>
      <c r="M19" s="61">
        <v>76</v>
      </c>
      <c r="N19" s="6">
        <f t="shared" si="0"/>
        <v>51.8</v>
      </c>
      <c r="O19" s="20"/>
    </row>
    <row r="20" spans="1:15">
      <c r="A20" s="22" t="s">
        <v>49</v>
      </c>
      <c r="B20" s="22"/>
      <c r="C20" s="4">
        <v>43367</v>
      </c>
      <c r="D20" s="4"/>
      <c r="E20" s="4">
        <v>43291</v>
      </c>
      <c r="F20" s="5"/>
      <c r="G20" s="49"/>
      <c r="H20" s="5">
        <v>10.039999999999999</v>
      </c>
      <c r="I20" s="102">
        <f>50+25/30*14</f>
        <v>61.666666666666671</v>
      </c>
      <c r="J20" s="5"/>
      <c r="K20" s="5"/>
      <c r="L20" s="6">
        <v>50</v>
      </c>
      <c r="M20" s="61">
        <v>22</v>
      </c>
      <c r="N20" s="18">
        <f t="shared" si="0"/>
        <v>19.599999999999998</v>
      </c>
    </row>
    <row r="21" spans="1:15">
      <c r="A21" s="22" t="s">
        <v>51</v>
      </c>
      <c r="B21" s="22"/>
      <c r="C21" s="4">
        <v>43358</v>
      </c>
      <c r="D21" s="4"/>
      <c r="E21" s="4">
        <v>43291</v>
      </c>
      <c r="F21" s="5"/>
      <c r="G21" s="49"/>
      <c r="H21" s="5">
        <v>10.039999999999999</v>
      </c>
      <c r="I21" s="102">
        <f>50+25/30*5</f>
        <v>54.166666666666664</v>
      </c>
      <c r="J21" s="5"/>
      <c r="K21" s="5"/>
      <c r="L21" s="6">
        <v>75</v>
      </c>
      <c r="M21" s="61">
        <v>25</v>
      </c>
      <c r="N21" s="6">
        <f t="shared" si="0"/>
        <v>35</v>
      </c>
    </row>
    <row r="22" spans="1:15">
      <c r="A22" s="22" t="s">
        <v>52</v>
      </c>
      <c r="B22" s="22"/>
      <c r="C22" s="4">
        <v>43367</v>
      </c>
      <c r="D22" s="4"/>
      <c r="E22" s="4">
        <v>43308</v>
      </c>
      <c r="F22" s="5"/>
      <c r="G22" s="49"/>
      <c r="H22" s="5">
        <v>10.86</v>
      </c>
      <c r="I22" s="102">
        <f>25+25/30*27</f>
        <v>47.5</v>
      </c>
      <c r="J22" s="5"/>
      <c r="K22" s="5"/>
      <c r="L22" s="6">
        <v>75</v>
      </c>
      <c r="M22" s="61">
        <v>25</v>
      </c>
      <c r="N22" s="27">
        <f t="shared" si="0"/>
        <v>35</v>
      </c>
    </row>
    <row r="23" spans="1:15">
      <c r="A23" s="22" t="s">
        <v>50</v>
      </c>
      <c r="B23" s="22"/>
      <c r="C23" s="4">
        <v>43367</v>
      </c>
      <c r="D23" s="4"/>
      <c r="E23" s="4">
        <v>43312</v>
      </c>
      <c r="F23" s="5"/>
      <c r="G23" s="49"/>
      <c r="H23" s="5">
        <v>10.86</v>
      </c>
      <c r="I23" s="102">
        <f>25+25/30*24</f>
        <v>45</v>
      </c>
      <c r="J23" s="5"/>
      <c r="K23" s="5"/>
      <c r="L23" s="6">
        <v>70</v>
      </c>
      <c r="M23" s="61">
        <v>25</v>
      </c>
      <c r="N23" s="6">
        <f t="shared" si="0"/>
        <v>31.499999999999996</v>
      </c>
    </row>
    <row r="24" spans="1:15">
      <c r="A24" s="22" t="s">
        <v>55</v>
      </c>
      <c r="B24" s="22"/>
      <c r="C24" s="4">
        <v>43363</v>
      </c>
      <c r="D24" s="4"/>
      <c r="E24" s="4">
        <v>43440</v>
      </c>
      <c r="F24" s="5"/>
      <c r="G24" s="49"/>
      <c r="H24" s="5">
        <v>14.11</v>
      </c>
      <c r="I24" s="102">
        <f>25*2+25*16/30</f>
        <v>63.333333333333336</v>
      </c>
      <c r="J24" s="5"/>
      <c r="K24" s="5"/>
      <c r="L24" s="6">
        <v>75</v>
      </c>
      <c r="M24" s="61">
        <v>25</v>
      </c>
      <c r="N24" s="6">
        <f t="shared" si="0"/>
        <v>35</v>
      </c>
    </row>
    <row r="25" spans="1:15">
      <c r="A25" s="22" t="s">
        <v>57</v>
      </c>
      <c r="B25" s="55"/>
      <c r="C25" s="31">
        <v>43478</v>
      </c>
      <c r="D25" s="31"/>
      <c r="E25" s="4">
        <v>43536</v>
      </c>
      <c r="F25" s="5"/>
      <c r="G25" s="49"/>
      <c r="H25" s="5">
        <v>10.86</v>
      </c>
      <c r="I25" s="102">
        <v>25</v>
      </c>
      <c r="J25" s="5"/>
      <c r="K25" s="5"/>
      <c r="L25" s="6">
        <v>70</v>
      </c>
      <c r="M25" s="61">
        <v>25</v>
      </c>
      <c r="N25" s="6">
        <f t="shared" si="0"/>
        <v>31.499999999999996</v>
      </c>
    </row>
    <row r="26" spans="1:15">
      <c r="A26" s="22" t="s">
        <v>59</v>
      </c>
      <c r="B26" s="22"/>
      <c r="C26" s="4">
        <v>43528</v>
      </c>
      <c r="D26" s="4"/>
      <c r="E26" s="4">
        <v>43538</v>
      </c>
      <c r="F26" s="5"/>
      <c r="G26" s="49"/>
      <c r="H26" s="5">
        <v>14.92</v>
      </c>
      <c r="I26" s="102">
        <f>77/30*10</f>
        <v>25.666666666666668</v>
      </c>
      <c r="J26" s="5"/>
      <c r="K26" s="5"/>
      <c r="L26" s="6">
        <v>169</v>
      </c>
      <c r="M26" s="61">
        <f>64+11+2</f>
        <v>77</v>
      </c>
      <c r="N26" s="6">
        <f t="shared" si="0"/>
        <v>64.399999999999991</v>
      </c>
    </row>
    <row r="27" spans="1:15">
      <c r="A27" s="22" t="s">
        <v>58</v>
      </c>
      <c r="B27" s="22"/>
      <c r="C27" s="4">
        <v>43534</v>
      </c>
      <c r="D27" s="4"/>
      <c r="E27" s="4">
        <v>43542</v>
      </c>
      <c r="F27" s="5"/>
      <c r="G27" s="49"/>
      <c r="H27" s="5">
        <f>10.86*2</f>
        <v>21.72</v>
      </c>
      <c r="I27" s="102">
        <v>0</v>
      </c>
      <c r="J27" s="5"/>
      <c r="K27" s="5"/>
      <c r="L27" s="6">
        <v>30</v>
      </c>
      <c r="M27" s="61">
        <v>22</v>
      </c>
      <c r="N27" s="6">
        <v>18.899999999999999</v>
      </c>
    </row>
    <row r="28" spans="1:15">
      <c r="A28" s="22" t="s">
        <v>61</v>
      </c>
      <c r="B28" s="22"/>
      <c r="C28" s="4">
        <v>43482</v>
      </c>
      <c r="D28" s="4"/>
      <c r="E28" s="4">
        <v>43542</v>
      </c>
      <c r="F28" s="5"/>
      <c r="G28" s="49"/>
      <c r="H28" s="5">
        <v>11.1</v>
      </c>
      <c r="I28" s="102">
        <f>25*2</f>
        <v>50</v>
      </c>
      <c r="J28" s="5"/>
      <c r="K28" s="5"/>
      <c r="L28" s="6">
        <v>70</v>
      </c>
      <c r="M28" s="61">
        <v>26</v>
      </c>
      <c r="N28" s="6">
        <f t="shared" si="0"/>
        <v>30.799999999999997</v>
      </c>
    </row>
    <row r="29" spans="1:15">
      <c r="A29" s="22" t="s">
        <v>67</v>
      </c>
      <c r="B29" s="22"/>
      <c r="C29" s="4">
        <v>43600</v>
      </c>
      <c r="D29" s="4"/>
      <c r="E29" s="4">
        <v>43629</v>
      </c>
      <c r="F29" s="5"/>
      <c r="G29" s="49"/>
      <c r="H29" s="5">
        <f>10.86*2</f>
        <v>21.72</v>
      </c>
      <c r="I29" s="102">
        <f>22/30*58</f>
        <v>42.533333333333331</v>
      </c>
      <c r="J29" s="5">
        <v>50</v>
      </c>
      <c r="K29" s="5">
        <f>H29+I29+J29</f>
        <v>114.25333333333333</v>
      </c>
      <c r="L29" s="6">
        <v>60</v>
      </c>
      <c r="M29" s="61">
        <v>25</v>
      </c>
      <c r="N29" s="6">
        <v>0</v>
      </c>
    </row>
    <row r="30" spans="1:15">
      <c r="A30" s="22" t="s">
        <v>66</v>
      </c>
      <c r="B30" s="22"/>
      <c r="C30" s="4">
        <v>43600</v>
      </c>
      <c r="D30" s="4"/>
      <c r="E30" s="4">
        <v>43629</v>
      </c>
      <c r="F30" s="5"/>
      <c r="G30" s="49"/>
      <c r="H30" s="5">
        <f>10.86</f>
        <v>10.86</v>
      </c>
      <c r="I30" s="102">
        <f>39/30*58</f>
        <v>75.400000000000006</v>
      </c>
      <c r="J30" s="5"/>
      <c r="K30" s="5">
        <f>H30+I30</f>
        <v>86.26</v>
      </c>
      <c r="L30" s="6">
        <v>110</v>
      </c>
      <c r="M30" s="61">
        <f>25+11+3</f>
        <v>39</v>
      </c>
      <c r="N30" s="6">
        <v>0</v>
      </c>
      <c r="O30" t="s">
        <v>73</v>
      </c>
    </row>
    <row r="31" spans="1:15">
      <c r="A31" s="22" t="s">
        <v>64</v>
      </c>
      <c r="B31" s="22"/>
      <c r="C31" s="4">
        <v>43627</v>
      </c>
      <c r="D31" s="4"/>
      <c r="E31" s="4">
        <v>43629</v>
      </c>
      <c r="F31" s="5"/>
      <c r="G31" s="49"/>
      <c r="H31" s="5">
        <v>10.86</v>
      </c>
      <c r="I31" s="102">
        <f>25/30*2</f>
        <v>1.6666666666666667</v>
      </c>
      <c r="J31" s="5"/>
      <c r="K31" s="5">
        <f>H31+I31</f>
        <v>12.526666666666666</v>
      </c>
      <c r="L31" s="6">
        <v>200</v>
      </c>
      <c r="M31" s="61">
        <v>11</v>
      </c>
      <c r="N31" s="5">
        <f t="shared" ref="N31:N42" si="1">(L31-M31)*0.7</f>
        <v>132.29999999999998</v>
      </c>
    </row>
    <row r="32" spans="1:15">
      <c r="A32" s="22" t="s">
        <v>65</v>
      </c>
      <c r="B32" s="22"/>
      <c r="C32" s="4">
        <v>43622</v>
      </c>
      <c r="D32" s="4"/>
      <c r="E32" s="4">
        <v>43650</v>
      </c>
      <c r="F32" s="5"/>
      <c r="G32" s="49"/>
      <c r="H32" s="5">
        <v>10.86</v>
      </c>
      <c r="I32" s="102"/>
      <c r="J32" s="5"/>
      <c r="K32" s="5"/>
      <c r="L32" s="6">
        <v>120</v>
      </c>
      <c r="M32" s="61">
        <v>60</v>
      </c>
      <c r="N32" s="6">
        <f t="shared" si="1"/>
        <v>42</v>
      </c>
    </row>
    <row r="33" spans="1:16">
      <c r="A33" s="22" t="s">
        <v>71</v>
      </c>
      <c r="B33" s="22"/>
      <c r="C33" s="4">
        <v>43635</v>
      </c>
      <c r="D33" s="4"/>
      <c r="E33" s="4">
        <v>43662</v>
      </c>
      <c r="F33" s="5"/>
      <c r="G33" s="49"/>
      <c r="H33" s="5">
        <f>10.86*2</f>
        <v>21.72</v>
      </c>
      <c r="I33" s="102"/>
      <c r="J33" s="5"/>
      <c r="K33" s="5"/>
      <c r="L33" s="6">
        <v>70</v>
      </c>
      <c r="M33" s="61">
        <v>26</v>
      </c>
      <c r="N33" s="6">
        <f t="shared" si="1"/>
        <v>30.799999999999997</v>
      </c>
      <c r="O33" t="s">
        <v>72</v>
      </c>
    </row>
    <row r="34" spans="1:16">
      <c r="A34" s="2" t="s">
        <v>75</v>
      </c>
      <c r="B34" s="2"/>
      <c r="C34" s="4">
        <v>43656</v>
      </c>
      <c r="D34" s="4"/>
      <c r="E34" s="4">
        <v>43711</v>
      </c>
      <c r="F34" s="5"/>
      <c r="G34" s="49"/>
      <c r="H34" s="5">
        <v>10.86</v>
      </c>
      <c r="I34" s="102">
        <f>36/30*48</f>
        <v>57.599999999999994</v>
      </c>
      <c r="J34" s="5"/>
      <c r="K34" s="5"/>
      <c r="L34" s="6">
        <v>145</v>
      </c>
      <c r="M34" s="61">
        <f>36+18</f>
        <v>54</v>
      </c>
      <c r="N34" s="6">
        <f t="shared" si="1"/>
        <v>63.699999999999996</v>
      </c>
    </row>
    <row r="35" spans="1:16">
      <c r="A35" s="2" t="s">
        <v>76</v>
      </c>
      <c r="B35" s="2"/>
      <c r="C35" s="4">
        <v>43677</v>
      </c>
      <c r="D35" s="4"/>
      <c r="E35" s="4">
        <v>43713</v>
      </c>
      <c r="F35" s="5"/>
      <c r="G35" s="49"/>
      <c r="H35" s="5">
        <v>24.06</v>
      </c>
      <c r="I35" s="102">
        <f>80/30*35</f>
        <v>93.333333333333329</v>
      </c>
      <c r="J35" s="5">
        <v>40</v>
      </c>
      <c r="K35" s="5"/>
      <c r="L35" s="6">
        <v>149</v>
      </c>
      <c r="M35" s="61">
        <v>80</v>
      </c>
      <c r="N35" s="6">
        <f t="shared" si="1"/>
        <v>48.3</v>
      </c>
      <c r="O35" t="s">
        <v>79</v>
      </c>
    </row>
    <row r="36" spans="1:16">
      <c r="A36" s="10" t="s">
        <v>81</v>
      </c>
      <c r="B36" s="10"/>
      <c r="C36" s="11">
        <v>45444</v>
      </c>
      <c r="D36" s="11"/>
      <c r="E36" s="11">
        <v>45408</v>
      </c>
      <c r="F36" s="12"/>
      <c r="G36" s="12"/>
      <c r="H36" s="12"/>
      <c r="I36" s="106">
        <f>43/30*34</f>
        <v>48.733333333333334</v>
      </c>
      <c r="J36" s="12"/>
      <c r="K36" s="12"/>
      <c r="L36" s="12">
        <v>129</v>
      </c>
      <c r="M36" s="107">
        <v>61</v>
      </c>
      <c r="N36" s="12">
        <f t="shared" si="1"/>
        <v>47.599999999999994</v>
      </c>
    </row>
    <row r="37" spans="1:16">
      <c r="A37" s="22" t="s">
        <v>87</v>
      </c>
      <c r="B37" s="22"/>
      <c r="C37" s="35">
        <v>43878</v>
      </c>
      <c r="D37" s="35"/>
      <c r="E37" s="35">
        <v>43892</v>
      </c>
      <c r="F37" s="5"/>
      <c r="G37" s="49"/>
      <c r="H37" s="5">
        <v>12.19</v>
      </c>
      <c r="I37" s="102">
        <v>5.5</v>
      </c>
      <c r="J37" s="5"/>
      <c r="K37" s="5"/>
      <c r="L37" s="6">
        <v>25</v>
      </c>
      <c r="M37" s="61">
        <v>11</v>
      </c>
      <c r="N37" s="6">
        <f t="shared" si="1"/>
        <v>9.7999999999999989</v>
      </c>
    </row>
    <row r="38" spans="1:16">
      <c r="A38" s="22" t="s">
        <v>89</v>
      </c>
      <c r="B38" s="22"/>
      <c r="C38" s="35">
        <v>43908</v>
      </c>
      <c r="D38" s="35"/>
      <c r="E38" s="35">
        <v>43893</v>
      </c>
      <c r="F38" s="5"/>
      <c r="G38" s="49"/>
      <c r="H38" s="5">
        <v>9.6</v>
      </c>
      <c r="I38" s="102">
        <v>5.5</v>
      </c>
      <c r="J38" s="5"/>
      <c r="K38" s="5"/>
      <c r="L38" s="6">
        <v>25</v>
      </c>
      <c r="M38" s="61">
        <v>11</v>
      </c>
      <c r="N38" s="6">
        <f t="shared" si="1"/>
        <v>9.7999999999999989</v>
      </c>
    </row>
    <row r="39" spans="1:16">
      <c r="A39" s="22" t="s">
        <v>85</v>
      </c>
      <c r="B39" s="22"/>
      <c r="C39" s="35">
        <v>43881</v>
      </c>
      <c r="D39" s="35"/>
      <c r="E39" s="35">
        <v>43895</v>
      </c>
      <c r="F39" s="5"/>
      <c r="G39" s="49"/>
      <c r="H39" s="5">
        <v>9.14</v>
      </c>
      <c r="I39" s="102">
        <f>11/30*15</f>
        <v>5.5</v>
      </c>
      <c r="J39" s="5"/>
      <c r="K39" s="5"/>
      <c r="L39" s="6">
        <v>25</v>
      </c>
      <c r="M39" s="61">
        <v>11</v>
      </c>
      <c r="N39" s="6">
        <f t="shared" si="1"/>
        <v>9.7999999999999989</v>
      </c>
    </row>
    <row r="40" spans="1:16">
      <c r="A40" s="39" t="s">
        <v>82</v>
      </c>
      <c r="B40" s="28"/>
      <c r="C40" s="36">
        <v>40235</v>
      </c>
      <c r="D40" s="36"/>
      <c r="E40" s="36">
        <v>43901</v>
      </c>
      <c r="F40" s="5"/>
      <c r="G40" s="34"/>
      <c r="H40" s="37">
        <v>9.6</v>
      </c>
      <c r="I40" s="102">
        <f>11/2</f>
        <v>5.5</v>
      </c>
      <c r="J40" s="5"/>
      <c r="K40" s="5"/>
      <c r="L40" s="17">
        <v>25</v>
      </c>
      <c r="M40" s="63">
        <v>11</v>
      </c>
      <c r="N40" s="26">
        <f t="shared" si="1"/>
        <v>9.7999999999999989</v>
      </c>
    </row>
    <row r="41" spans="1:16">
      <c r="A41" s="22" t="s">
        <v>80</v>
      </c>
      <c r="B41" s="22"/>
      <c r="C41" s="35">
        <v>43873</v>
      </c>
      <c r="D41" s="35"/>
      <c r="E41" s="35">
        <v>43910</v>
      </c>
      <c r="F41" s="5"/>
      <c r="G41" s="49"/>
      <c r="H41" s="5">
        <v>21.84</v>
      </c>
      <c r="I41" s="102">
        <f>56/30*38</f>
        <v>70.933333333333337</v>
      </c>
      <c r="J41" s="5"/>
      <c r="K41" s="5"/>
      <c r="L41" s="6">
        <v>80</v>
      </c>
      <c r="M41" s="61">
        <v>47</v>
      </c>
      <c r="N41" s="6">
        <f t="shared" si="1"/>
        <v>23.099999999999998</v>
      </c>
    </row>
    <row r="42" spans="1:16">
      <c r="A42" s="22" t="s">
        <v>88</v>
      </c>
      <c r="B42" s="22"/>
      <c r="C42" s="35">
        <v>43855</v>
      </c>
      <c r="D42" s="35"/>
      <c r="E42" s="35">
        <v>43941</v>
      </c>
      <c r="F42" s="5"/>
      <c r="G42" s="49"/>
      <c r="H42" s="5">
        <v>13.93</v>
      </c>
      <c r="I42" s="102">
        <f>56/30*85</f>
        <v>158.66666666666666</v>
      </c>
      <c r="J42" s="5"/>
      <c r="K42" s="5"/>
      <c r="L42" s="6">
        <v>110</v>
      </c>
      <c r="M42" s="61">
        <v>56</v>
      </c>
      <c r="N42" s="6">
        <f t="shared" si="1"/>
        <v>37.799999999999997</v>
      </c>
    </row>
    <row r="43" spans="1:16">
      <c r="A43" s="22" t="s">
        <v>90</v>
      </c>
      <c r="B43" s="22"/>
      <c r="C43" s="35" t="s">
        <v>96</v>
      </c>
      <c r="D43" s="35"/>
      <c r="E43" s="35">
        <v>44015</v>
      </c>
      <c r="F43" s="5" t="s">
        <v>160</v>
      </c>
      <c r="G43" s="49">
        <v>12.5</v>
      </c>
      <c r="H43" s="5">
        <v>11.29</v>
      </c>
      <c r="I43" s="102">
        <f>100</f>
        <v>100</v>
      </c>
      <c r="J43" s="5"/>
      <c r="K43" s="5"/>
      <c r="L43" s="6">
        <v>105</v>
      </c>
      <c r="M43" s="61">
        <f>25+11+22</f>
        <v>58</v>
      </c>
      <c r="N43" s="6">
        <f>12.5+(92.5-M43)*0.7</f>
        <v>36.65</v>
      </c>
      <c r="P43" s="41"/>
    </row>
    <row r="44" spans="1:16">
      <c r="A44" s="22" t="s">
        <v>97</v>
      </c>
      <c r="B44" s="22"/>
      <c r="C44" s="35">
        <v>43990</v>
      </c>
      <c r="D44" s="35"/>
      <c r="E44" s="35">
        <v>44036</v>
      </c>
      <c r="F44" s="5"/>
      <c r="G44" s="49"/>
      <c r="H44" s="5">
        <v>8.75</v>
      </c>
      <c r="I44" s="102">
        <f>56/30*46</f>
        <v>85.866666666666674</v>
      </c>
      <c r="J44" s="5"/>
      <c r="K44" s="5"/>
      <c r="L44" s="6">
        <v>110</v>
      </c>
      <c r="M44" s="61">
        <f>45+11</f>
        <v>56</v>
      </c>
      <c r="N44" s="6">
        <f>(L44-M44)*0.7</f>
        <v>37.799999999999997</v>
      </c>
    </row>
    <row r="45" spans="1:16">
      <c r="A45" s="22" t="s">
        <v>95</v>
      </c>
      <c r="B45" s="22"/>
      <c r="C45" s="35">
        <v>44028</v>
      </c>
      <c r="D45" s="35"/>
      <c r="E45" s="35">
        <v>44040</v>
      </c>
      <c r="F45" s="5"/>
      <c r="G45" s="49"/>
      <c r="H45" s="5">
        <v>8.75</v>
      </c>
      <c r="I45" s="102">
        <f>41/30*12</f>
        <v>16.399999999999999</v>
      </c>
      <c r="J45" s="5"/>
      <c r="K45" s="5"/>
      <c r="L45" s="6">
        <v>60</v>
      </c>
      <c r="M45" s="61">
        <v>41</v>
      </c>
      <c r="N45" s="6">
        <f>(L45-M45)*0.7</f>
        <v>13.299999999999999</v>
      </c>
    </row>
    <row r="46" spans="1:16">
      <c r="A46" s="22" t="s">
        <v>94</v>
      </c>
      <c r="B46" s="22"/>
      <c r="C46" s="35">
        <v>44011</v>
      </c>
      <c r="D46" s="35"/>
      <c r="E46" s="35">
        <v>44084</v>
      </c>
      <c r="F46" s="5"/>
      <c r="G46" s="49"/>
      <c r="H46" s="5">
        <v>11.29</v>
      </c>
      <c r="I46" s="102">
        <f>25/30*71</f>
        <v>59.166666666666671</v>
      </c>
      <c r="J46" s="5"/>
      <c r="K46" s="5"/>
      <c r="L46" s="6">
        <v>40</v>
      </c>
      <c r="M46" s="61">
        <v>25</v>
      </c>
      <c r="N46" s="6">
        <f>(L46-M46)*0.7</f>
        <v>10.5</v>
      </c>
    </row>
    <row r="47" spans="1:16">
      <c r="A47" s="2" t="s">
        <v>99</v>
      </c>
      <c r="B47" s="2"/>
      <c r="C47" s="35">
        <v>44084</v>
      </c>
      <c r="D47" s="35"/>
      <c r="E47" s="35">
        <v>44105</v>
      </c>
      <c r="F47" s="5" t="s">
        <v>160</v>
      </c>
      <c r="G47" s="49">
        <v>5</v>
      </c>
      <c r="H47" s="5">
        <v>12.24</v>
      </c>
      <c r="I47" s="102">
        <f>25/30*20</f>
        <v>16.666666666666668</v>
      </c>
      <c r="J47" s="5"/>
      <c r="K47" s="5"/>
      <c r="L47" s="43">
        <v>40</v>
      </c>
      <c r="M47" s="61">
        <v>22</v>
      </c>
      <c r="N47" s="6">
        <f>5+13*0.7</f>
        <v>14.1</v>
      </c>
      <c r="P47" s="41"/>
    </row>
    <row r="48" spans="1:16">
      <c r="A48" s="2" t="s">
        <v>102</v>
      </c>
      <c r="B48" s="2"/>
      <c r="C48" s="4" t="s">
        <v>103</v>
      </c>
      <c r="D48" s="4"/>
      <c r="E48" s="4">
        <v>44110</v>
      </c>
      <c r="F48" s="5" t="s">
        <v>160</v>
      </c>
      <c r="G48" s="49">
        <v>10</v>
      </c>
      <c r="H48" s="5">
        <v>36.65</v>
      </c>
      <c r="I48" s="102">
        <f>115/30*26</f>
        <v>99.666666666666671</v>
      </c>
      <c r="J48" s="5"/>
      <c r="K48" s="5"/>
      <c r="L48" s="6">
        <v>180</v>
      </c>
      <c r="M48" s="61">
        <v>115</v>
      </c>
      <c r="N48" s="6">
        <f>10+55*0.7</f>
        <v>48.5</v>
      </c>
      <c r="P48" s="41"/>
    </row>
    <row r="49" spans="1:16">
      <c r="A49" s="2" t="s">
        <v>94</v>
      </c>
      <c r="B49" s="2"/>
      <c r="C49" s="35">
        <v>44124</v>
      </c>
      <c r="D49" s="35"/>
      <c r="E49" s="35">
        <v>44124</v>
      </c>
      <c r="F49" s="5"/>
      <c r="G49" s="49"/>
      <c r="H49" s="5">
        <v>7.25</v>
      </c>
      <c r="I49" s="102">
        <v>0</v>
      </c>
      <c r="J49" s="5"/>
      <c r="K49" s="5"/>
      <c r="L49" s="6">
        <v>25</v>
      </c>
      <c r="M49" s="61">
        <v>11</v>
      </c>
      <c r="N49" s="6">
        <f>(L49-M49)*0.7</f>
        <v>9.7999999999999989</v>
      </c>
    </row>
    <row r="50" spans="1:16">
      <c r="A50" s="22" t="s">
        <v>104</v>
      </c>
      <c r="B50" s="22"/>
      <c r="C50" s="4">
        <v>44159</v>
      </c>
      <c r="D50" s="4"/>
      <c r="E50" s="4">
        <v>44187</v>
      </c>
      <c r="F50" s="40"/>
      <c r="G50" s="2"/>
      <c r="H50" s="5">
        <v>13.93</v>
      </c>
      <c r="I50" s="102">
        <f>36/30*28</f>
        <v>33.6</v>
      </c>
      <c r="J50" s="5"/>
      <c r="K50" s="5"/>
      <c r="L50" s="6">
        <v>110</v>
      </c>
      <c r="M50" s="61">
        <f>25+11</f>
        <v>36</v>
      </c>
      <c r="N50" s="6">
        <f>(L50-M50)*0.7</f>
        <v>51.8</v>
      </c>
    </row>
    <row r="51" spans="1:16">
      <c r="A51" s="22" t="s">
        <v>120</v>
      </c>
      <c r="B51" s="22"/>
      <c r="C51" s="4">
        <v>44169</v>
      </c>
      <c r="D51" s="4"/>
      <c r="E51" s="4">
        <v>44208</v>
      </c>
      <c r="F51" s="5" t="s">
        <v>160</v>
      </c>
      <c r="G51" s="49">
        <v>10</v>
      </c>
      <c r="H51" s="5"/>
      <c r="I51" s="102">
        <f>41/30*38</f>
        <v>51.933333333333337</v>
      </c>
      <c r="J51" s="5"/>
      <c r="K51" s="5"/>
      <c r="L51" s="6">
        <v>70</v>
      </c>
      <c r="M51" s="61">
        <v>45</v>
      </c>
      <c r="N51" s="5">
        <f>10+(60-45)*0.7</f>
        <v>20.5</v>
      </c>
      <c r="O51" s="1" t="s">
        <v>145</v>
      </c>
    </row>
    <row r="52" spans="1:16">
      <c r="A52" s="22" t="s">
        <v>108</v>
      </c>
      <c r="B52" s="22"/>
      <c r="C52" s="4">
        <v>44185</v>
      </c>
      <c r="D52" s="4"/>
      <c r="E52" s="4">
        <v>44242</v>
      </c>
      <c r="F52" s="5" t="s">
        <v>160</v>
      </c>
      <c r="G52" s="49">
        <v>20</v>
      </c>
      <c r="H52" s="5">
        <v>26.48</v>
      </c>
      <c r="I52" s="102">
        <f>50/30*55</f>
        <v>91.666666666666671</v>
      </c>
      <c r="J52" s="5">
        <v>160</v>
      </c>
      <c r="K52" s="5"/>
      <c r="L52" s="6">
        <v>130</v>
      </c>
      <c r="M52" s="61">
        <v>34</v>
      </c>
      <c r="N52" s="5">
        <f>(20+(110-34)*0.7)</f>
        <v>73.199999999999989</v>
      </c>
      <c r="O52" s="1" t="s">
        <v>145</v>
      </c>
    </row>
    <row r="53" spans="1:16">
      <c r="A53" s="22" t="s">
        <v>109</v>
      </c>
      <c r="B53" s="22"/>
      <c r="C53" s="4">
        <v>44209</v>
      </c>
      <c r="D53" s="4"/>
      <c r="E53" s="4">
        <v>44250</v>
      </c>
      <c r="F53" s="5" t="s">
        <v>160</v>
      </c>
      <c r="G53" s="49">
        <v>22.5</v>
      </c>
      <c r="H53" s="5">
        <v>22.83</v>
      </c>
      <c r="I53" s="102">
        <f>100/30*40</f>
        <v>133.33333333333334</v>
      </c>
      <c r="J53" s="5">
        <v>125</v>
      </c>
      <c r="K53" s="5"/>
      <c r="L53" s="6">
        <v>210</v>
      </c>
      <c r="M53" s="61">
        <v>100</v>
      </c>
      <c r="N53" s="6">
        <f>(22.5+87.5*0.7)</f>
        <v>83.75</v>
      </c>
    </row>
    <row r="54" spans="1:16">
      <c r="A54" s="2" t="s">
        <v>113</v>
      </c>
      <c r="B54" s="2"/>
      <c r="C54" s="4">
        <v>44245</v>
      </c>
      <c r="D54" s="4"/>
      <c r="E54" s="4">
        <v>44271</v>
      </c>
      <c r="F54" s="5" t="s">
        <v>160</v>
      </c>
      <c r="G54" s="49">
        <v>15</v>
      </c>
      <c r="H54" s="5">
        <v>26.76</v>
      </c>
      <c r="I54" s="102">
        <f>67/30*28</f>
        <v>62.533333333333331</v>
      </c>
      <c r="J54" s="5"/>
      <c r="K54" s="5"/>
      <c r="L54" s="6">
        <v>140</v>
      </c>
      <c r="M54" s="61">
        <v>67</v>
      </c>
      <c r="N54" s="6">
        <f>(15+0.7*58)</f>
        <v>55.599999999999994</v>
      </c>
    </row>
    <row r="55" spans="1:16">
      <c r="A55" s="2" t="s">
        <v>112</v>
      </c>
      <c r="B55" s="2"/>
      <c r="C55" s="4">
        <v>44270</v>
      </c>
      <c r="D55" s="4"/>
      <c r="E55" s="4">
        <v>44286</v>
      </c>
      <c r="F55" s="5" t="s">
        <v>160</v>
      </c>
      <c r="G55" s="49">
        <v>17.5</v>
      </c>
      <c r="H55" s="5">
        <v>31.96</v>
      </c>
      <c r="I55" s="102">
        <f>55/30*16</f>
        <v>29.333333333333332</v>
      </c>
      <c r="J55" s="5">
        <v>75</v>
      </c>
      <c r="K55" s="5"/>
      <c r="L55" s="6">
        <v>100</v>
      </c>
      <c r="M55" s="61">
        <v>55</v>
      </c>
      <c r="N55" s="6">
        <f>(17.5+27.5*0.7)</f>
        <v>36.75</v>
      </c>
    </row>
    <row r="56" spans="1:16">
      <c r="A56" s="22" t="s">
        <v>121</v>
      </c>
      <c r="B56" s="22"/>
      <c r="C56" s="4">
        <v>44316</v>
      </c>
      <c r="D56" s="4"/>
      <c r="E56" s="4">
        <v>44354</v>
      </c>
      <c r="F56" s="40"/>
      <c r="G56" s="2"/>
      <c r="H56" s="5">
        <v>15.15</v>
      </c>
      <c r="I56" s="102">
        <f>36/30*37</f>
        <v>44.4</v>
      </c>
      <c r="J56" s="5"/>
      <c r="K56" s="5"/>
      <c r="L56" s="6">
        <v>110</v>
      </c>
      <c r="M56" s="61">
        <v>36</v>
      </c>
      <c r="N56" s="5">
        <f>(L56-M56)*0.7</f>
        <v>51.8</v>
      </c>
      <c r="O56" s="1" t="s">
        <v>145</v>
      </c>
    </row>
    <row r="57" spans="1:16">
      <c r="A57" s="22" t="s">
        <v>126</v>
      </c>
      <c r="B57" s="22"/>
      <c r="C57" s="4">
        <v>44336</v>
      </c>
      <c r="D57" s="4"/>
      <c r="E57" s="4">
        <v>44370</v>
      </c>
      <c r="F57" s="5" t="s">
        <v>161</v>
      </c>
      <c r="G57" s="49">
        <v>17.5</v>
      </c>
      <c r="H57" s="5">
        <v>35.78</v>
      </c>
      <c r="I57" s="102">
        <f>58/30*33</f>
        <v>63.8</v>
      </c>
      <c r="J57" s="5">
        <v>50</v>
      </c>
      <c r="K57" s="5"/>
      <c r="L57" s="6">
        <v>150</v>
      </c>
      <c r="M57" s="61">
        <v>58</v>
      </c>
      <c r="N57" s="6">
        <f>(17.5+74.5*0.7)</f>
        <v>69.650000000000006</v>
      </c>
    </row>
    <row r="58" spans="1:16">
      <c r="A58" s="44" t="s">
        <v>125</v>
      </c>
      <c r="B58" s="44"/>
      <c r="C58" s="4">
        <v>44342</v>
      </c>
      <c r="D58" s="4"/>
      <c r="E58" s="4">
        <v>44386</v>
      </c>
      <c r="F58" s="5" t="s">
        <v>160</v>
      </c>
      <c r="G58" s="49">
        <v>12.5</v>
      </c>
      <c r="H58" s="5">
        <v>15.46</v>
      </c>
      <c r="I58" s="102">
        <f>36/30*43</f>
        <v>51.6</v>
      </c>
      <c r="J58" s="5">
        <f>50+45</f>
        <v>95</v>
      </c>
      <c r="K58" s="5"/>
      <c r="L58" s="6">
        <v>80</v>
      </c>
      <c r="M58" s="61">
        <v>33</v>
      </c>
      <c r="N58" s="6">
        <f>12.5+(L58-M58-12.5)*0.7</f>
        <v>36.65</v>
      </c>
    </row>
    <row r="59" spans="1:16">
      <c r="A59" s="44" t="s">
        <v>129</v>
      </c>
      <c r="B59" s="44"/>
      <c r="C59" s="4">
        <v>44348</v>
      </c>
      <c r="D59" s="4"/>
      <c r="E59" s="4">
        <v>44389</v>
      </c>
      <c r="F59" s="5" t="s">
        <v>160</v>
      </c>
      <c r="G59" s="49">
        <v>12.5</v>
      </c>
      <c r="H59" s="5">
        <v>26.22</v>
      </c>
      <c r="I59" s="102">
        <f>71/30*42</f>
        <v>99.4</v>
      </c>
      <c r="J59" s="5">
        <f>50+45</f>
        <v>95</v>
      </c>
      <c r="K59" s="5"/>
      <c r="L59" s="6">
        <v>140</v>
      </c>
      <c r="M59" s="61">
        <v>71</v>
      </c>
      <c r="N59" s="6">
        <f>(12.5+(127.5-71)*0.7)</f>
        <v>52.05</v>
      </c>
    </row>
    <row r="60" spans="1:16">
      <c r="A60" s="44" t="s">
        <v>132</v>
      </c>
      <c r="B60" s="44"/>
      <c r="C60" s="4">
        <v>44407</v>
      </c>
      <c r="D60" s="4"/>
      <c r="E60" s="4">
        <v>44461</v>
      </c>
      <c r="F60" s="40"/>
      <c r="G60" s="2"/>
      <c r="H60" s="5">
        <v>9.8800000000000008</v>
      </c>
      <c r="I60" s="102">
        <f>25/30*52</f>
        <v>43.333333333333336</v>
      </c>
      <c r="J60" s="5"/>
      <c r="K60" s="5"/>
      <c r="L60" s="6">
        <v>40</v>
      </c>
      <c r="M60" s="61">
        <v>25</v>
      </c>
      <c r="N60" s="6">
        <f>(L60-M60)*0.7</f>
        <v>10.5</v>
      </c>
    </row>
    <row r="61" spans="1:16">
      <c r="A61" s="52" t="s">
        <v>141</v>
      </c>
      <c r="B61" s="52"/>
      <c r="C61" s="57">
        <v>44459</v>
      </c>
      <c r="D61" s="57"/>
      <c r="E61" s="57">
        <v>44481</v>
      </c>
      <c r="F61" s="10" t="s">
        <v>161</v>
      </c>
      <c r="G61" s="12">
        <v>10</v>
      </c>
      <c r="H61" s="25">
        <v>15.15</v>
      </c>
      <c r="I61" s="103">
        <f>46/30*22</f>
        <v>33.733333333333334</v>
      </c>
      <c r="J61" s="25">
        <v>80</v>
      </c>
      <c r="K61" s="25"/>
      <c r="L61" s="27">
        <v>120</v>
      </c>
      <c r="M61" s="64">
        <v>46</v>
      </c>
      <c r="N61" s="27">
        <f>10+(120-56)*0.7</f>
        <v>54.8</v>
      </c>
    </row>
    <row r="62" spans="1:16">
      <c r="A62" s="52" t="s">
        <v>140</v>
      </c>
      <c r="B62" s="52"/>
      <c r="C62" s="57">
        <v>44449</v>
      </c>
      <c r="D62" s="57"/>
      <c r="E62" s="57">
        <v>44482</v>
      </c>
      <c r="F62" s="25" t="s">
        <v>160</v>
      </c>
      <c r="G62" s="58">
        <v>10</v>
      </c>
      <c r="H62" s="25">
        <v>13.4</v>
      </c>
      <c r="I62" s="103">
        <f>60/30*33</f>
        <v>66</v>
      </c>
      <c r="J62" s="25">
        <v>80</v>
      </c>
      <c r="K62" s="25"/>
      <c r="L62" s="27">
        <v>120</v>
      </c>
      <c r="M62" s="64">
        <v>61</v>
      </c>
      <c r="N62" s="27">
        <f>(10+49*0.7)</f>
        <v>44.3</v>
      </c>
    </row>
    <row r="63" spans="1:16">
      <c r="A63" s="44" t="s">
        <v>137</v>
      </c>
      <c r="B63" s="44"/>
      <c r="C63" s="35">
        <v>44474</v>
      </c>
      <c r="D63" s="35"/>
      <c r="E63" s="35">
        <v>44487</v>
      </c>
      <c r="F63" s="10" t="s">
        <v>161</v>
      </c>
      <c r="G63" s="12">
        <v>12.5</v>
      </c>
      <c r="H63" s="5">
        <v>15.15</v>
      </c>
      <c r="I63" s="102">
        <f>71/30*13</f>
        <v>30.766666666666666</v>
      </c>
      <c r="J63" s="5">
        <v>95</v>
      </c>
      <c r="K63" s="5"/>
      <c r="L63" s="6">
        <v>140</v>
      </c>
      <c r="M63" s="61">
        <v>71</v>
      </c>
      <c r="N63" s="6">
        <f>12.5+(56.5)*0.7</f>
        <v>52.05</v>
      </c>
    </row>
    <row r="64" spans="1:16">
      <c r="A64" s="44" t="s">
        <v>139</v>
      </c>
      <c r="B64" s="44"/>
      <c r="C64" s="35">
        <v>44492</v>
      </c>
      <c r="D64" s="35"/>
      <c r="E64" s="35">
        <v>44539</v>
      </c>
      <c r="F64" s="40"/>
      <c r="G64" s="49"/>
      <c r="H64" s="5">
        <v>16.350000000000001</v>
      </c>
      <c r="I64" s="102">
        <f>71/30*46</f>
        <v>108.86666666666667</v>
      </c>
      <c r="J64" s="5">
        <v>95</v>
      </c>
      <c r="K64" s="5"/>
      <c r="L64" s="6">
        <v>140</v>
      </c>
      <c r="M64" s="61">
        <v>71</v>
      </c>
      <c r="N64" s="12">
        <f>(140-71)*0.7</f>
        <v>48.3</v>
      </c>
      <c r="O64" s="72" t="s">
        <v>329</v>
      </c>
      <c r="P64" s="72">
        <v>33.81</v>
      </c>
    </row>
    <row r="65" spans="1:14">
      <c r="A65" s="44" t="s">
        <v>144</v>
      </c>
      <c r="B65" s="44"/>
      <c r="C65" s="35">
        <v>44526</v>
      </c>
      <c r="D65" s="35"/>
      <c r="E65" s="35">
        <v>44550</v>
      </c>
      <c r="F65" s="5" t="s">
        <v>160</v>
      </c>
      <c r="G65" s="49">
        <v>12.5</v>
      </c>
      <c r="H65" s="5">
        <v>13.4</v>
      </c>
      <c r="I65" s="102">
        <f>83/30*24</f>
        <v>66.400000000000006</v>
      </c>
      <c r="J65" s="5"/>
      <c r="K65" s="5"/>
      <c r="L65" s="6">
        <v>140</v>
      </c>
      <c r="M65" s="61">
        <v>94</v>
      </c>
      <c r="N65" s="6">
        <f>12.5+(140-12.5-94)*0.7</f>
        <v>35.950000000000003</v>
      </c>
    </row>
    <row r="66" spans="1:14">
      <c r="A66" s="44" t="s">
        <v>149</v>
      </c>
      <c r="B66" s="44"/>
      <c r="C66" s="35">
        <v>44880</v>
      </c>
      <c r="D66" s="35"/>
      <c r="E66" s="35">
        <v>44575</v>
      </c>
      <c r="F66" s="40"/>
      <c r="G66" s="49"/>
      <c r="H66" s="5">
        <v>13.4</v>
      </c>
      <c r="I66" s="102"/>
      <c r="J66" s="5">
        <v>50</v>
      </c>
      <c r="K66" s="5"/>
      <c r="L66" s="6">
        <v>160</v>
      </c>
      <c r="M66" s="61">
        <f>71+9</f>
        <v>80</v>
      </c>
      <c r="N66" s="6">
        <f>(160-80)*0.7</f>
        <v>56</v>
      </c>
    </row>
    <row r="67" spans="1:14">
      <c r="A67" s="44" t="s">
        <v>146</v>
      </c>
      <c r="B67" s="44"/>
      <c r="C67" s="4">
        <v>44586</v>
      </c>
      <c r="D67" s="4"/>
      <c r="E67" s="4">
        <v>44615</v>
      </c>
      <c r="F67" s="10" t="s">
        <v>161</v>
      </c>
      <c r="G67" s="12">
        <v>12.5</v>
      </c>
      <c r="H67" s="5">
        <v>15.46</v>
      </c>
      <c r="I67" s="102">
        <f>27/30*28</f>
        <v>25.2</v>
      </c>
      <c r="J67" s="5">
        <v>110</v>
      </c>
      <c r="K67" s="5"/>
      <c r="L67" s="6">
        <v>154</v>
      </c>
      <c r="M67" s="61">
        <v>72</v>
      </c>
      <c r="N67" s="6">
        <f>12.5+(154-12.5-62)*0.7</f>
        <v>68.150000000000006</v>
      </c>
    </row>
    <row r="68" spans="1:14">
      <c r="A68" s="44" t="s">
        <v>153</v>
      </c>
      <c r="B68" s="44"/>
      <c r="C68" s="4">
        <v>44623</v>
      </c>
      <c r="D68" s="4"/>
      <c r="E68" s="4">
        <v>44623</v>
      </c>
      <c r="F68" s="40"/>
      <c r="G68" s="40"/>
      <c r="H68" s="5">
        <v>11.03</v>
      </c>
      <c r="I68" s="102">
        <v>0</v>
      </c>
      <c r="J68" s="5">
        <v>15</v>
      </c>
      <c r="K68" s="5"/>
      <c r="L68" s="6">
        <v>30</v>
      </c>
      <c r="M68" s="61">
        <v>12</v>
      </c>
      <c r="N68" s="6">
        <f>(L68-M68)*0.7</f>
        <v>12.6</v>
      </c>
    </row>
    <row r="69" spans="1:14">
      <c r="A69" s="44" t="s">
        <v>157</v>
      </c>
      <c r="B69" s="44"/>
      <c r="C69" s="4">
        <v>44627</v>
      </c>
      <c r="D69" s="4"/>
      <c r="E69" s="4">
        <v>44627</v>
      </c>
      <c r="F69" s="10" t="s">
        <v>161</v>
      </c>
      <c r="G69" s="12">
        <v>10</v>
      </c>
      <c r="H69" s="5">
        <v>15.46</v>
      </c>
      <c r="I69" s="102">
        <v>0</v>
      </c>
      <c r="J69" s="5">
        <v>0</v>
      </c>
      <c r="K69" s="5"/>
      <c r="L69" s="6">
        <v>100</v>
      </c>
      <c r="M69" s="61">
        <v>44</v>
      </c>
      <c r="N69" s="6">
        <f>10+(46)*0.7</f>
        <v>42.199999999999996</v>
      </c>
    </row>
    <row r="70" spans="1:14">
      <c r="A70" s="44" t="s">
        <v>171</v>
      </c>
      <c r="B70" s="44"/>
      <c r="C70" s="4">
        <v>44648</v>
      </c>
      <c r="D70" s="4"/>
      <c r="E70" s="4">
        <v>44734</v>
      </c>
      <c r="F70" s="40"/>
      <c r="G70" s="5"/>
      <c r="H70" s="5">
        <v>13.72</v>
      </c>
      <c r="I70" s="102">
        <f>56/30*84</f>
        <v>156.80000000000001</v>
      </c>
      <c r="J70" s="5">
        <v>95</v>
      </c>
      <c r="K70" s="5"/>
      <c r="L70" s="6">
        <v>140</v>
      </c>
      <c r="M70" s="61">
        <v>56</v>
      </c>
      <c r="N70" s="6">
        <f>(140-56)*0.7</f>
        <v>58.8</v>
      </c>
    </row>
    <row r="71" spans="1:14">
      <c r="A71" s="44" t="s">
        <v>172</v>
      </c>
      <c r="B71" s="44"/>
      <c r="C71" s="4">
        <v>44705</v>
      </c>
      <c r="D71" s="4"/>
      <c r="E71" s="4">
        <v>44715</v>
      </c>
      <c r="F71" s="40"/>
      <c r="G71" s="5"/>
      <c r="H71" s="5">
        <v>10.039999999999999</v>
      </c>
      <c r="I71" s="102">
        <f>25/30*9</f>
        <v>7.5</v>
      </c>
      <c r="J71" s="5"/>
      <c r="K71" s="5"/>
      <c r="L71" s="6">
        <v>50</v>
      </c>
      <c r="M71" s="61">
        <v>25</v>
      </c>
      <c r="N71" s="6">
        <f>(50-25)*0.7</f>
        <v>17.5</v>
      </c>
    </row>
    <row r="72" spans="1:14">
      <c r="A72" s="44" t="s">
        <v>173</v>
      </c>
      <c r="B72" s="44"/>
      <c r="C72" s="4">
        <v>44704</v>
      </c>
      <c r="D72" s="4"/>
      <c r="E72" s="4">
        <v>44721</v>
      </c>
      <c r="F72" s="10" t="s">
        <v>161</v>
      </c>
      <c r="G72" s="56">
        <v>12.5</v>
      </c>
      <c r="H72" s="5">
        <v>13.72</v>
      </c>
      <c r="I72" s="102">
        <f>37/30*16</f>
        <v>19.733333333333334</v>
      </c>
      <c r="J72" s="5">
        <f>50+45</f>
        <v>95</v>
      </c>
      <c r="K72" s="5"/>
      <c r="L72" s="6">
        <v>129</v>
      </c>
      <c r="M72" s="61">
        <v>54.5</v>
      </c>
      <c r="N72" s="56">
        <f>12.5+(116.5-54.5)*0.7</f>
        <v>55.9</v>
      </c>
    </row>
    <row r="73" spans="1:14">
      <c r="A73" s="44" t="s">
        <v>174</v>
      </c>
      <c r="B73" s="44"/>
      <c r="C73" s="4">
        <v>44715</v>
      </c>
      <c r="D73" s="4"/>
      <c r="E73" s="4">
        <v>44820</v>
      </c>
      <c r="F73" s="10" t="s">
        <v>161</v>
      </c>
      <c r="G73" s="56">
        <v>15</v>
      </c>
      <c r="H73" s="5">
        <v>14.6</v>
      </c>
      <c r="I73" s="102">
        <f>56/30*103</f>
        <v>192.26666666666668</v>
      </c>
      <c r="J73" s="5">
        <v>50</v>
      </c>
      <c r="K73" s="5"/>
      <c r="L73" s="6">
        <f>130</f>
        <v>130</v>
      </c>
      <c r="M73" s="61">
        <v>56</v>
      </c>
      <c r="N73" s="56">
        <f>15+(115-56)*0.7</f>
        <v>56.3</v>
      </c>
    </row>
    <row r="74" spans="1:14">
      <c r="A74" s="44" t="s">
        <v>183</v>
      </c>
      <c r="B74" s="44"/>
      <c r="C74" s="4">
        <v>44749</v>
      </c>
      <c r="D74" s="4">
        <v>44830</v>
      </c>
      <c r="E74" s="4">
        <v>44858</v>
      </c>
      <c r="F74" s="40"/>
      <c r="G74" s="5"/>
      <c r="H74" s="5">
        <v>11.03</v>
      </c>
      <c r="I74" s="102">
        <v>25</v>
      </c>
      <c r="J74" s="5">
        <v>15</v>
      </c>
      <c r="K74" s="5"/>
      <c r="L74" s="6">
        <v>80</v>
      </c>
      <c r="M74" s="61">
        <v>25</v>
      </c>
      <c r="N74" s="6">
        <f>55*0.7</f>
        <v>38.5</v>
      </c>
    </row>
    <row r="75" spans="1:14">
      <c r="A75" s="44" t="s">
        <v>185</v>
      </c>
      <c r="B75" s="44"/>
      <c r="C75" s="4">
        <v>44830</v>
      </c>
      <c r="D75" s="4">
        <v>44852</v>
      </c>
      <c r="E75" s="4">
        <v>44858</v>
      </c>
      <c r="F75" s="10" t="s">
        <v>161</v>
      </c>
      <c r="G75" s="12">
        <v>15</v>
      </c>
      <c r="H75" s="5">
        <v>23.38</v>
      </c>
      <c r="I75" s="102">
        <f>54.5/30*6</f>
        <v>10.9</v>
      </c>
      <c r="J75" s="5">
        <v>95</v>
      </c>
      <c r="K75" s="5"/>
      <c r="L75" s="6">
        <v>160</v>
      </c>
      <c r="M75" s="61">
        <v>64.5</v>
      </c>
      <c r="N75" s="6">
        <f>15+(145-64.5)*0.7</f>
        <v>71.349999999999994</v>
      </c>
    </row>
    <row r="76" spans="1:14">
      <c r="A76" s="44" t="s">
        <v>190</v>
      </c>
      <c r="B76" s="44"/>
      <c r="C76" s="4"/>
      <c r="D76" s="4">
        <v>44879</v>
      </c>
      <c r="E76" s="35">
        <v>44887</v>
      </c>
      <c r="F76" s="44" t="s">
        <v>161</v>
      </c>
      <c r="G76" s="56">
        <v>10</v>
      </c>
      <c r="H76" s="5">
        <v>14.6</v>
      </c>
      <c r="I76" s="102">
        <f>34/30*8</f>
        <v>9.0666666666666664</v>
      </c>
      <c r="J76" s="5">
        <v>45</v>
      </c>
      <c r="K76" s="5"/>
      <c r="L76" s="6">
        <v>75</v>
      </c>
      <c r="M76" s="61">
        <v>34</v>
      </c>
      <c r="N76" s="56">
        <f>10+(80-34)*0.7</f>
        <v>42.199999999999996</v>
      </c>
    </row>
    <row r="77" spans="1:14">
      <c r="A77" s="44" t="s">
        <v>213</v>
      </c>
      <c r="B77" s="44"/>
      <c r="C77" s="4">
        <v>44894</v>
      </c>
      <c r="D77" s="4">
        <v>44908</v>
      </c>
      <c r="E77" s="35">
        <v>44944</v>
      </c>
      <c r="F77" s="40" t="s">
        <v>161</v>
      </c>
      <c r="G77" s="5">
        <v>15</v>
      </c>
      <c r="H77" s="5">
        <v>31.72</v>
      </c>
      <c r="I77" s="102">
        <f>50/30*35</f>
        <v>58.333333333333336</v>
      </c>
      <c r="J77" s="5">
        <f>60+50</f>
        <v>110</v>
      </c>
      <c r="K77" s="5"/>
      <c r="L77" s="6">
        <v>119</v>
      </c>
      <c r="M77" s="61">
        <v>54</v>
      </c>
      <c r="N77" s="94">
        <f>15+(L77-M77-15)*0.7</f>
        <v>50</v>
      </c>
    </row>
    <row r="78" spans="1:14">
      <c r="A78" s="44" t="s">
        <v>227</v>
      </c>
      <c r="B78" s="44"/>
      <c r="C78" s="4">
        <v>44949</v>
      </c>
      <c r="D78" s="4">
        <v>44953</v>
      </c>
      <c r="E78" s="35">
        <v>44966</v>
      </c>
      <c r="F78" s="40" t="s">
        <v>160</v>
      </c>
      <c r="G78" s="5">
        <v>15</v>
      </c>
      <c r="H78" s="5">
        <v>16.38</v>
      </c>
      <c r="I78" s="102">
        <f>61.5/30*12</f>
        <v>24.599999999999998</v>
      </c>
      <c r="J78" s="5">
        <f>50+60</f>
        <v>110</v>
      </c>
      <c r="K78" s="5"/>
      <c r="L78" s="6">
        <v>160</v>
      </c>
      <c r="M78" s="65">
        <f>32.5+7+22</f>
        <v>61.5</v>
      </c>
      <c r="N78" s="59">
        <f>15+(L78-M78-15)*0.7</f>
        <v>73.449999999999989</v>
      </c>
    </row>
    <row r="79" spans="1:14">
      <c r="A79" s="44" t="s">
        <v>228</v>
      </c>
      <c r="B79" s="44"/>
      <c r="C79" s="4">
        <v>44957</v>
      </c>
      <c r="D79" s="4">
        <v>44957</v>
      </c>
      <c r="E79" s="35">
        <v>44977</v>
      </c>
      <c r="F79" s="40"/>
      <c r="G79" s="5"/>
      <c r="H79" s="5">
        <v>20.61</v>
      </c>
      <c r="I79" s="102">
        <f>66/30*20</f>
        <v>44</v>
      </c>
      <c r="J79" s="5">
        <v>90</v>
      </c>
      <c r="K79" s="5"/>
      <c r="L79" s="6">
        <v>155</v>
      </c>
      <c r="M79" s="65">
        <v>54</v>
      </c>
      <c r="N79" s="59">
        <f>(L79-M79)*0.7</f>
        <v>70.699999999999989</v>
      </c>
    </row>
    <row r="80" spans="1:14">
      <c r="A80" s="44" t="s">
        <v>255</v>
      </c>
      <c r="B80" s="44"/>
      <c r="C80" s="35">
        <v>44691</v>
      </c>
      <c r="D80" s="35">
        <v>44994</v>
      </c>
      <c r="E80" s="4">
        <v>44994</v>
      </c>
      <c r="F80" s="40"/>
      <c r="G80" s="40"/>
      <c r="H80" s="5">
        <v>11.03</v>
      </c>
      <c r="I80" s="102">
        <f>25*14</f>
        <v>350</v>
      </c>
      <c r="J80" s="40">
        <f>30+50</f>
        <v>80</v>
      </c>
      <c r="K80" s="40"/>
      <c r="L80" s="6">
        <v>109</v>
      </c>
      <c r="M80" s="6">
        <f>38+7</f>
        <v>45</v>
      </c>
      <c r="N80" s="59">
        <f>(L80-M80)*0.7</f>
        <v>44.8</v>
      </c>
    </row>
    <row r="81" spans="1:16">
      <c r="A81" s="44" t="s">
        <v>187</v>
      </c>
      <c r="B81" s="44"/>
      <c r="C81" s="35"/>
      <c r="D81" s="35">
        <v>44991</v>
      </c>
      <c r="E81" s="4">
        <v>44991</v>
      </c>
      <c r="F81" s="40"/>
      <c r="G81" s="40"/>
      <c r="H81" s="5">
        <v>13.31</v>
      </c>
      <c r="I81" s="102"/>
      <c r="J81" s="40">
        <v>45</v>
      </c>
      <c r="K81" s="40"/>
      <c r="L81" s="6">
        <v>80</v>
      </c>
      <c r="M81" s="6">
        <v>27</v>
      </c>
      <c r="N81" s="59">
        <f>(L81-M81)*0.7</f>
        <v>37.099999999999994</v>
      </c>
    </row>
    <row r="82" spans="1:16">
      <c r="A82" s="76" t="s">
        <v>276</v>
      </c>
      <c r="B82" s="44"/>
      <c r="C82" s="35">
        <v>45061</v>
      </c>
      <c r="D82" s="35">
        <v>45070</v>
      </c>
      <c r="E82" s="4"/>
      <c r="F82" s="40"/>
      <c r="G82" s="40"/>
      <c r="H82" s="5">
        <v>11.48</v>
      </c>
      <c r="I82" s="102">
        <f>21/30*9</f>
        <v>6.3</v>
      </c>
      <c r="J82" s="40"/>
      <c r="K82" s="40"/>
      <c r="L82" s="17">
        <f>50</f>
        <v>50</v>
      </c>
      <c r="M82" s="18">
        <v>21</v>
      </c>
      <c r="N82" s="70">
        <f>(50-21)*0.7</f>
        <v>20.299999999999997</v>
      </c>
    </row>
    <row r="83" spans="1:16">
      <c r="A83" s="76" t="s">
        <v>279</v>
      </c>
      <c r="B83" s="44"/>
      <c r="C83" s="35">
        <v>45065</v>
      </c>
      <c r="D83" s="35">
        <v>45070</v>
      </c>
      <c r="E83" s="4"/>
      <c r="F83" s="40"/>
      <c r="G83" s="40"/>
      <c r="H83" s="5">
        <v>11.48</v>
      </c>
      <c r="I83" s="102">
        <f>21/30*5</f>
        <v>3.5</v>
      </c>
      <c r="J83" s="40"/>
      <c r="K83" s="40"/>
      <c r="L83" s="17">
        <f>50</f>
        <v>50</v>
      </c>
      <c r="M83" s="18">
        <v>21</v>
      </c>
      <c r="N83" s="70">
        <f>(50-21)*0.7</f>
        <v>20.299999999999997</v>
      </c>
    </row>
    <row r="84" spans="1:16">
      <c r="A84" s="76" t="s">
        <v>278</v>
      </c>
      <c r="B84" s="52"/>
      <c r="C84" s="57">
        <v>44973</v>
      </c>
      <c r="D84" s="57">
        <v>45070</v>
      </c>
      <c r="E84" s="24"/>
      <c r="F84" s="48"/>
      <c r="G84" s="48"/>
      <c r="H84" s="25">
        <v>11.48</v>
      </c>
      <c r="I84" s="103">
        <f>21/30*98</f>
        <v>68.599999999999994</v>
      </c>
      <c r="J84" s="48"/>
      <c r="K84" s="48"/>
      <c r="L84" s="17">
        <v>50</v>
      </c>
      <c r="M84" s="26">
        <v>21</v>
      </c>
      <c r="N84" s="85">
        <f>(50-21)*0.7</f>
        <v>20.299999999999997</v>
      </c>
    </row>
    <row r="85" spans="1:16">
      <c r="A85" s="44" t="s">
        <v>289</v>
      </c>
      <c r="B85" s="44"/>
      <c r="C85" s="35">
        <v>45110</v>
      </c>
      <c r="D85" s="35">
        <v>45127</v>
      </c>
      <c r="E85" s="4">
        <v>45110</v>
      </c>
      <c r="F85" s="40"/>
      <c r="G85" s="40"/>
      <c r="H85" s="5">
        <v>13.31</v>
      </c>
      <c r="I85" s="102">
        <f>27/30*17</f>
        <v>15.3</v>
      </c>
      <c r="J85" s="40">
        <v>45</v>
      </c>
      <c r="K85" s="40"/>
      <c r="L85" s="6">
        <v>75</v>
      </c>
      <c r="M85" s="6">
        <v>27</v>
      </c>
      <c r="N85" s="59">
        <f>(L85-M85)*0.7</f>
        <v>33.599999999999994</v>
      </c>
    </row>
    <row r="86" spans="1:16">
      <c r="A86" s="44" t="s">
        <v>292</v>
      </c>
      <c r="B86" s="44"/>
      <c r="C86" s="35">
        <v>45138</v>
      </c>
      <c r="D86" s="35">
        <v>45139</v>
      </c>
      <c r="E86" s="35">
        <v>45162</v>
      </c>
      <c r="F86" s="40"/>
      <c r="G86" s="40"/>
      <c r="H86" s="5">
        <v>12.48</v>
      </c>
      <c r="I86" s="102">
        <f>27/30*23</f>
        <v>20.7</v>
      </c>
      <c r="J86" s="40">
        <v>45</v>
      </c>
      <c r="K86" s="40"/>
      <c r="L86" s="6">
        <v>90</v>
      </c>
      <c r="M86" s="6">
        <v>27</v>
      </c>
      <c r="N86" s="59">
        <f>(L86-M86)*0.7</f>
        <v>44.099999999999994</v>
      </c>
    </row>
    <row r="87" spans="1:16">
      <c r="A87" s="44" t="s">
        <v>293</v>
      </c>
      <c r="B87" s="44"/>
      <c r="C87" s="35">
        <v>45086</v>
      </c>
      <c r="D87" s="35">
        <v>45089</v>
      </c>
      <c r="E87" s="4">
        <v>45103</v>
      </c>
      <c r="F87" s="40"/>
      <c r="G87" s="40"/>
      <c r="H87" s="5">
        <v>11.03</v>
      </c>
      <c r="I87" s="102">
        <f>21/30*14</f>
        <v>9.7999999999999989</v>
      </c>
      <c r="J87" s="40"/>
      <c r="K87" s="40"/>
      <c r="L87" s="6">
        <v>50</v>
      </c>
      <c r="M87" s="6">
        <v>21</v>
      </c>
      <c r="N87" s="59">
        <f>(L87-M87)*0.7</f>
        <v>20.299999999999997</v>
      </c>
    </row>
    <row r="88" spans="1:16">
      <c r="A88" s="44" t="s">
        <v>295</v>
      </c>
      <c r="B88" s="44"/>
      <c r="C88" s="35">
        <v>45228</v>
      </c>
      <c r="D88" s="35">
        <v>45203</v>
      </c>
      <c r="E88" s="4"/>
      <c r="F88" s="40"/>
      <c r="G88" s="40"/>
      <c r="H88" s="5">
        <v>13.31</v>
      </c>
      <c r="I88" s="102">
        <f>27/30*5</f>
        <v>4.5</v>
      </c>
      <c r="J88" s="40">
        <v>45</v>
      </c>
      <c r="K88" s="40"/>
      <c r="L88" s="6">
        <v>80</v>
      </c>
      <c r="M88" s="6">
        <v>27</v>
      </c>
      <c r="N88" s="59">
        <f>(L88-M88)*0.7</f>
        <v>37.099999999999994</v>
      </c>
    </row>
    <row r="89" spans="1:16">
      <c r="A89" s="44" t="s">
        <v>320</v>
      </c>
      <c r="B89" s="44"/>
      <c r="C89" s="35">
        <v>45177</v>
      </c>
      <c r="D89" s="35">
        <v>45196</v>
      </c>
      <c r="E89" s="4"/>
      <c r="F89" s="40"/>
      <c r="G89" s="40"/>
      <c r="H89" s="5">
        <v>10.44</v>
      </c>
      <c r="I89" s="102">
        <f>38/30*21</f>
        <v>26.599999999999998</v>
      </c>
      <c r="J89" s="40"/>
      <c r="K89" s="40"/>
      <c r="L89" s="6">
        <v>69</v>
      </c>
      <c r="M89" s="6">
        <v>38</v>
      </c>
      <c r="N89" s="59">
        <f>(69-38)*0.7</f>
        <v>21.7</v>
      </c>
    </row>
    <row r="90" spans="1:16">
      <c r="A90" s="44" t="s">
        <v>325</v>
      </c>
      <c r="B90" s="44"/>
      <c r="C90" s="35"/>
      <c r="D90" s="35">
        <v>45223</v>
      </c>
      <c r="E90" s="4">
        <v>45239</v>
      </c>
      <c r="F90" s="40"/>
      <c r="G90" s="40"/>
      <c r="H90" s="5">
        <v>40</v>
      </c>
      <c r="I90" s="102">
        <f>43/30*15</f>
        <v>21.5</v>
      </c>
      <c r="J90" s="40"/>
      <c r="K90" s="40"/>
      <c r="L90" s="6">
        <v>69</v>
      </c>
      <c r="M90" s="6">
        <v>43</v>
      </c>
      <c r="N90" s="94">
        <f>(69-43)*0.7</f>
        <v>18.2</v>
      </c>
      <c r="O90" s="72" t="s">
        <v>329</v>
      </c>
      <c r="P90" s="72">
        <v>12.74</v>
      </c>
    </row>
    <row r="91" spans="1:16">
      <c r="A91" s="44" t="s">
        <v>326</v>
      </c>
      <c r="B91" s="44"/>
      <c r="C91" s="35"/>
      <c r="D91" s="35">
        <v>45188</v>
      </c>
      <c r="E91" s="4">
        <v>45209</v>
      </c>
      <c r="F91" s="40"/>
      <c r="G91" s="40"/>
      <c r="H91" s="5">
        <v>11.48</v>
      </c>
      <c r="I91" s="102"/>
      <c r="J91" s="40"/>
      <c r="K91" s="40"/>
      <c r="L91" s="6">
        <v>59</v>
      </c>
      <c r="M91" s="6">
        <v>38</v>
      </c>
      <c r="N91" s="59">
        <f>(L91-M91)*0.7</f>
        <v>14.7</v>
      </c>
    </row>
    <row r="92" spans="1:16">
      <c r="A92" s="44" t="s">
        <v>108</v>
      </c>
      <c r="B92" s="44"/>
      <c r="C92" s="35"/>
      <c r="D92" s="35">
        <v>45231</v>
      </c>
      <c r="E92" s="4">
        <v>45231</v>
      </c>
      <c r="F92" s="40"/>
      <c r="G92" s="40"/>
      <c r="H92" s="5"/>
      <c r="I92" s="102"/>
      <c r="J92" s="40"/>
      <c r="K92" s="40"/>
      <c r="L92" s="6">
        <v>69</v>
      </c>
      <c r="M92" s="6">
        <v>43</v>
      </c>
      <c r="N92" s="59">
        <f>(L92-M92)*0.7</f>
        <v>18.2</v>
      </c>
    </row>
    <row r="93" spans="1:16">
      <c r="A93" s="44" t="s">
        <v>327</v>
      </c>
      <c r="B93" s="44"/>
      <c r="C93" s="35"/>
      <c r="D93" s="35"/>
      <c r="E93" s="4">
        <v>45127</v>
      </c>
      <c r="F93" s="40"/>
      <c r="G93" s="40"/>
      <c r="H93" s="5">
        <v>11.48</v>
      </c>
      <c r="I93" s="102"/>
      <c r="J93" s="40"/>
      <c r="K93" s="40"/>
      <c r="L93" s="6">
        <v>25</v>
      </c>
      <c r="M93" s="6">
        <v>9</v>
      </c>
      <c r="N93" s="59">
        <f>(L93-M93)*0.7</f>
        <v>11.2</v>
      </c>
    </row>
    <row r="94" spans="1:16">
      <c r="A94" s="44" t="s">
        <v>336</v>
      </c>
      <c r="B94" s="44"/>
      <c r="C94" s="35"/>
      <c r="D94" s="35">
        <v>45278</v>
      </c>
      <c r="E94" s="4">
        <v>45278</v>
      </c>
      <c r="F94" s="40"/>
      <c r="G94" s="40"/>
      <c r="H94" s="5"/>
      <c r="I94" s="102"/>
      <c r="J94" s="40"/>
      <c r="K94" s="40"/>
      <c r="L94" s="6">
        <v>69</v>
      </c>
      <c r="M94" s="6">
        <v>43</v>
      </c>
      <c r="N94" s="59">
        <f>(69-43)*0.7/30*42</f>
        <v>25.48</v>
      </c>
    </row>
    <row r="95" spans="1:16">
      <c r="A95" s="44" t="s">
        <v>337</v>
      </c>
      <c r="B95" s="44"/>
      <c r="C95" s="35">
        <v>45342</v>
      </c>
      <c r="D95" s="35">
        <v>44977</v>
      </c>
      <c r="E95" s="4">
        <v>45342</v>
      </c>
      <c r="F95" s="40"/>
      <c r="G95" s="40"/>
      <c r="H95" s="5">
        <v>13.78</v>
      </c>
      <c r="I95" s="102"/>
      <c r="J95" s="40">
        <f>45+50</f>
        <v>95</v>
      </c>
      <c r="K95" s="40"/>
      <c r="L95" s="6">
        <v>119</v>
      </c>
      <c r="M95" s="6">
        <f>38+7+9</f>
        <v>54</v>
      </c>
      <c r="N95" s="59">
        <f t="shared" ref="N95:N116" si="2">(L95-M95)*0.7</f>
        <v>45.5</v>
      </c>
    </row>
    <row r="96" spans="1:16">
      <c r="A96" s="44" t="s">
        <v>338</v>
      </c>
      <c r="B96" s="44"/>
      <c r="C96" s="35">
        <v>45271</v>
      </c>
      <c r="D96" s="35"/>
      <c r="E96" s="4">
        <v>45301</v>
      </c>
      <c r="F96" s="40"/>
      <c r="G96" s="40"/>
      <c r="H96" s="5">
        <v>14.26</v>
      </c>
      <c r="I96" s="102">
        <f>25/30*29</f>
        <v>24.166666666666668</v>
      </c>
      <c r="J96" s="40">
        <f>30+50</f>
        <v>80</v>
      </c>
      <c r="K96" s="40"/>
      <c r="L96" s="6">
        <v>80</v>
      </c>
      <c r="M96" s="6">
        <v>29</v>
      </c>
      <c r="N96" s="59">
        <f t="shared" si="2"/>
        <v>35.699999999999996</v>
      </c>
      <c r="O96" t="s">
        <v>339</v>
      </c>
    </row>
    <row r="97" spans="1:14">
      <c r="A97" s="44" t="s">
        <v>333</v>
      </c>
      <c r="B97" s="44"/>
      <c r="C97" s="35"/>
      <c r="D97" s="35"/>
      <c r="E97" s="4">
        <v>45336</v>
      </c>
      <c r="F97" s="40"/>
      <c r="G97" s="40"/>
      <c r="H97" s="5">
        <v>10</v>
      </c>
      <c r="I97" s="102">
        <v>0</v>
      </c>
      <c r="J97" s="40">
        <v>120</v>
      </c>
      <c r="K97" s="40"/>
      <c r="L97" s="6">
        <v>160</v>
      </c>
      <c r="M97" s="6">
        <v>72</v>
      </c>
      <c r="N97" s="59">
        <f t="shared" si="2"/>
        <v>61.599999999999994</v>
      </c>
    </row>
    <row r="98" spans="1:14">
      <c r="A98" s="44" t="s">
        <v>343</v>
      </c>
      <c r="B98" s="44"/>
      <c r="C98" s="35"/>
      <c r="D98" s="35"/>
      <c r="E98" s="4">
        <v>45336</v>
      </c>
      <c r="F98" s="40"/>
      <c r="G98" s="40"/>
      <c r="H98" s="5">
        <v>10.92</v>
      </c>
      <c r="I98" s="102"/>
      <c r="J98" s="40"/>
      <c r="K98" s="40"/>
      <c r="L98" s="6">
        <v>59</v>
      </c>
      <c r="M98" s="6">
        <v>38</v>
      </c>
      <c r="N98" s="59">
        <f t="shared" si="2"/>
        <v>14.7</v>
      </c>
    </row>
    <row r="99" spans="1:14">
      <c r="A99" s="44" t="s">
        <v>381</v>
      </c>
      <c r="B99" s="44"/>
      <c r="C99" s="35"/>
      <c r="D99" s="35">
        <v>45323</v>
      </c>
      <c r="E99" s="4">
        <v>45323</v>
      </c>
      <c r="F99" s="40"/>
      <c r="G99" s="40"/>
      <c r="H99" s="5">
        <v>10.92</v>
      </c>
      <c r="I99" s="102"/>
      <c r="J99" s="40"/>
      <c r="K99" s="40"/>
      <c r="L99" s="6">
        <v>59</v>
      </c>
      <c r="M99" s="6">
        <v>38</v>
      </c>
      <c r="N99" s="59">
        <f t="shared" si="2"/>
        <v>14.7</v>
      </c>
    </row>
    <row r="100" spans="1:14">
      <c r="A100" s="44" t="s">
        <v>345</v>
      </c>
      <c r="B100" s="44"/>
      <c r="C100" s="35"/>
      <c r="D100" s="35"/>
      <c r="E100" s="4">
        <v>45345</v>
      </c>
      <c r="F100" s="40"/>
      <c r="G100" s="40"/>
      <c r="H100" s="5">
        <v>24.2</v>
      </c>
      <c r="I100" s="102"/>
      <c r="J100" s="40">
        <v>45</v>
      </c>
      <c r="K100" s="40"/>
      <c r="L100" s="6">
        <v>90</v>
      </c>
      <c r="M100" s="6">
        <f>7+9</f>
        <v>16</v>
      </c>
      <c r="N100" s="59">
        <f t="shared" si="2"/>
        <v>51.8</v>
      </c>
    </row>
    <row r="101" spans="1:14">
      <c r="A101" s="44" t="s">
        <v>346</v>
      </c>
      <c r="B101" s="44"/>
      <c r="C101" s="35"/>
      <c r="D101" s="35"/>
      <c r="E101" s="4">
        <v>45334</v>
      </c>
      <c r="F101" s="40"/>
      <c r="G101" s="40"/>
      <c r="H101" s="5">
        <v>12.01</v>
      </c>
      <c r="I101" s="102"/>
      <c r="J101" s="40">
        <v>15</v>
      </c>
      <c r="K101" s="40"/>
      <c r="L101" s="6">
        <v>20</v>
      </c>
      <c r="M101" s="6">
        <v>9</v>
      </c>
      <c r="N101" s="70">
        <f t="shared" si="2"/>
        <v>7.6999999999999993</v>
      </c>
    </row>
    <row r="102" spans="1:14">
      <c r="A102" s="44" t="s">
        <v>361</v>
      </c>
      <c r="B102" s="44"/>
      <c r="C102" s="35"/>
      <c r="D102" s="35">
        <v>45366</v>
      </c>
      <c r="E102" s="4">
        <v>45385</v>
      </c>
      <c r="F102" s="40"/>
      <c r="G102" s="40"/>
      <c r="H102" s="5"/>
      <c r="I102" s="102">
        <f>69/30*18</f>
        <v>41.4</v>
      </c>
      <c r="J102" s="40"/>
      <c r="K102" s="40"/>
      <c r="L102" s="6">
        <v>69</v>
      </c>
      <c r="M102" s="6">
        <v>43</v>
      </c>
      <c r="N102" s="70">
        <f t="shared" si="2"/>
        <v>18.2</v>
      </c>
    </row>
    <row r="103" spans="1:14">
      <c r="A103" s="44" t="s">
        <v>365</v>
      </c>
      <c r="B103" s="44"/>
      <c r="C103" s="35"/>
      <c r="D103" s="35">
        <v>45450</v>
      </c>
      <c r="E103" s="4">
        <v>45456</v>
      </c>
      <c r="F103" s="40"/>
      <c r="G103" s="40"/>
      <c r="H103" s="5"/>
      <c r="I103" s="102">
        <f>47/30*5</f>
        <v>7.833333333333333</v>
      </c>
      <c r="J103" s="40"/>
      <c r="K103" s="40"/>
      <c r="L103" s="6">
        <v>69</v>
      </c>
      <c r="M103" s="6">
        <v>47</v>
      </c>
      <c r="N103" s="59">
        <f t="shared" si="2"/>
        <v>15.399999999999999</v>
      </c>
    </row>
    <row r="104" spans="1:14">
      <c r="A104" s="44" t="s">
        <v>358</v>
      </c>
      <c r="B104" s="44"/>
      <c r="C104" s="35"/>
      <c r="D104" s="35">
        <v>45468</v>
      </c>
      <c r="E104" s="4">
        <v>45468</v>
      </c>
      <c r="F104" s="40"/>
      <c r="G104" s="40"/>
      <c r="H104" s="5">
        <v>12.01</v>
      </c>
      <c r="I104" s="102"/>
      <c r="J104" s="40"/>
      <c r="K104" s="40"/>
      <c r="L104" s="6">
        <v>59</v>
      </c>
      <c r="M104" s="6">
        <v>38</v>
      </c>
      <c r="N104" s="59">
        <f t="shared" si="2"/>
        <v>14.7</v>
      </c>
    </row>
    <row r="105" spans="1:14">
      <c r="A105" s="44" t="s">
        <v>218</v>
      </c>
      <c r="B105" s="44"/>
      <c r="C105" s="35"/>
      <c r="D105" s="35">
        <v>45456</v>
      </c>
      <c r="E105" s="4">
        <v>45456</v>
      </c>
      <c r="F105" s="40"/>
      <c r="G105" s="40"/>
      <c r="H105" s="5">
        <v>10</v>
      </c>
      <c r="I105" s="102"/>
      <c r="J105" s="40">
        <v>45</v>
      </c>
      <c r="K105" s="40"/>
      <c r="L105" s="6">
        <v>80</v>
      </c>
      <c r="M105" s="6">
        <v>27</v>
      </c>
      <c r="N105" s="59">
        <f t="shared" si="2"/>
        <v>37.099999999999994</v>
      </c>
    </row>
    <row r="106" spans="1:14">
      <c r="A106" s="44" t="s">
        <v>366</v>
      </c>
      <c r="B106" s="44"/>
      <c r="C106" s="35"/>
      <c r="D106" s="35">
        <v>45454</v>
      </c>
      <c r="E106" s="4"/>
      <c r="F106" s="40"/>
      <c r="G106" s="40"/>
      <c r="H106" s="5"/>
      <c r="I106" s="102"/>
      <c r="J106" s="40"/>
      <c r="K106" s="40"/>
      <c r="L106" s="6">
        <v>59</v>
      </c>
      <c r="M106" s="6">
        <v>38</v>
      </c>
      <c r="N106" s="59">
        <f t="shared" si="2"/>
        <v>14.7</v>
      </c>
    </row>
    <row r="107" spans="1:14">
      <c r="A107" s="44" t="s">
        <v>64</v>
      </c>
      <c r="B107" s="44"/>
      <c r="C107" s="35"/>
      <c r="D107" s="35">
        <v>45469</v>
      </c>
      <c r="E107" s="4">
        <v>45469</v>
      </c>
      <c r="F107" s="40"/>
      <c r="G107" s="40"/>
      <c r="H107" s="5"/>
      <c r="I107" s="102"/>
      <c r="J107" s="40"/>
      <c r="K107" s="40"/>
      <c r="L107" s="6">
        <v>100</v>
      </c>
      <c r="M107" s="18">
        <v>5</v>
      </c>
      <c r="N107" s="59">
        <f t="shared" si="2"/>
        <v>66.5</v>
      </c>
    </row>
    <row r="108" spans="1:14">
      <c r="A108" s="44" t="s">
        <v>369</v>
      </c>
      <c r="B108" s="44"/>
      <c r="C108" s="35"/>
      <c r="D108" s="35">
        <v>45464</v>
      </c>
      <c r="E108" s="4">
        <v>41811</v>
      </c>
      <c r="F108" s="40"/>
      <c r="G108" s="40"/>
      <c r="H108" s="5">
        <v>24.98</v>
      </c>
      <c r="I108" s="102"/>
      <c r="J108" s="40">
        <v>15</v>
      </c>
      <c r="K108" s="40"/>
      <c r="L108" s="6">
        <v>80</v>
      </c>
      <c r="M108" s="6">
        <v>42.5</v>
      </c>
      <c r="N108" s="59">
        <f t="shared" si="2"/>
        <v>26.25</v>
      </c>
    </row>
    <row r="109" spans="1:14">
      <c r="A109" s="44" t="s">
        <v>370</v>
      </c>
      <c r="B109" s="44"/>
      <c r="C109" s="35"/>
      <c r="D109" s="35">
        <v>45444</v>
      </c>
      <c r="E109" s="4">
        <v>41791</v>
      </c>
      <c r="F109" s="40"/>
      <c r="G109" s="40"/>
      <c r="H109" s="5">
        <v>12.98</v>
      </c>
      <c r="I109" s="102"/>
      <c r="J109" s="40">
        <v>30</v>
      </c>
      <c r="K109" s="40"/>
      <c r="L109" s="6">
        <v>65</v>
      </c>
      <c r="M109" s="6">
        <v>18</v>
      </c>
      <c r="N109" s="59">
        <f t="shared" si="2"/>
        <v>32.9</v>
      </c>
    </row>
    <row r="110" spans="1:14">
      <c r="A110" s="44" t="s">
        <v>375</v>
      </c>
      <c r="B110" s="44"/>
      <c r="C110" s="35"/>
      <c r="D110" s="35">
        <v>45471</v>
      </c>
      <c r="E110" s="35">
        <v>45471</v>
      </c>
      <c r="F110" s="40"/>
      <c r="G110" s="40"/>
      <c r="H110" s="5">
        <f>10+12.01</f>
        <v>22.009999999999998</v>
      </c>
      <c r="I110" s="102"/>
      <c r="J110" s="40">
        <v>30</v>
      </c>
      <c r="K110" s="40"/>
      <c r="L110" s="6">
        <v>90</v>
      </c>
      <c r="M110" s="18">
        <f>38.5+1+18</f>
        <v>57.5</v>
      </c>
      <c r="N110" s="70">
        <f t="shared" si="2"/>
        <v>22.75</v>
      </c>
    </row>
    <row r="111" spans="1:14">
      <c r="A111" s="44" t="s">
        <v>83</v>
      </c>
      <c r="B111" s="44"/>
      <c r="C111" s="35"/>
      <c r="D111" s="35">
        <v>45482</v>
      </c>
      <c r="E111" s="35">
        <v>45482</v>
      </c>
      <c r="F111" s="40"/>
      <c r="G111" s="40"/>
      <c r="H111" s="5"/>
      <c r="I111" s="102"/>
      <c r="J111" s="40"/>
      <c r="K111" s="40"/>
      <c r="L111" s="6">
        <v>69</v>
      </c>
      <c r="M111" s="18">
        <v>43</v>
      </c>
      <c r="N111" s="70">
        <f t="shared" si="2"/>
        <v>18.2</v>
      </c>
    </row>
    <row r="112" spans="1:14">
      <c r="A112" s="44" t="s">
        <v>383</v>
      </c>
      <c r="B112" s="44"/>
      <c r="C112" s="35"/>
      <c r="D112" s="35">
        <v>45434</v>
      </c>
      <c r="E112" s="35">
        <v>45513</v>
      </c>
      <c r="F112" s="40"/>
      <c r="G112" s="40"/>
      <c r="H112" s="5">
        <v>14.58</v>
      </c>
      <c r="I112" s="102"/>
      <c r="J112" s="40"/>
      <c r="K112" s="40"/>
      <c r="L112" s="6">
        <v>69</v>
      </c>
      <c r="M112" s="18">
        <v>43</v>
      </c>
      <c r="N112" s="70">
        <f t="shared" si="2"/>
        <v>18.2</v>
      </c>
    </row>
    <row r="113" spans="1:14">
      <c r="A113" s="44" t="s">
        <v>384</v>
      </c>
      <c r="B113" s="44"/>
      <c r="C113" s="35"/>
      <c r="D113" s="35"/>
      <c r="E113" s="35">
        <v>45513</v>
      </c>
      <c r="F113" s="40"/>
      <c r="G113" s="40"/>
      <c r="H113" s="5"/>
      <c r="I113" s="102"/>
      <c r="J113" s="40">
        <v>60</v>
      </c>
      <c r="K113" s="40"/>
      <c r="L113" s="6">
        <v>115</v>
      </c>
      <c r="M113" s="6">
        <v>37</v>
      </c>
      <c r="N113" s="70">
        <f t="shared" si="2"/>
        <v>54.599999999999994</v>
      </c>
    </row>
    <row r="114" spans="1:14">
      <c r="A114" s="44" t="s">
        <v>389</v>
      </c>
      <c r="B114" s="44"/>
      <c r="C114" s="35"/>
      <c r="D114" s="35">
        <v>45574</v>
      </c>
      <c r="E114" s="35">
        <v>45574</v>
      </c>
      <c r="F114" s="40"/>
      <c r="G114" s="40"/>
      <c r="H114" s="5"/>
      <c r="I114" s="102"/>
      <c r="J114" s="40"/>
      <c r="K114" s="40"/>
      <c r="L114" s="6">
        <v>10</v>
      </c>
      <c r="M114" s="6">
        <v>1</v>
      </c>
      <c r="N114" s="59">
        <f t="shared" si="2"/>
        <v>6.3</v>
      </c>
    </row>
    <row r="115" spans="1:14">
      <c r="A115" s="44" t="s">
        <v>397</v>
      </c>
      <c r="B115" s="44"/>
      <c r="C115" s="35"/>
      <c r="D115" s="35">
        <v>45510</v>
      </c>
      <c r="E115" s="35">
        <v>45574</v>
      </c>
      <c r="F115" s="40"/>
      <c r="G115" s="40"/>
      <c r="H115" s="5">
        <v>31.89</v>
      </c>
      <c r="I115" s="102">
        <f>79/30*63*0.5</f>
        <v>82.95</v>
      </c>
      <c r="J115" s="40">
        <v>60</v>
      </c>
      <c r="K115" s="40"/>
      <c r="L115" s="6">
        <v>174</v>
      </c>
      <c r="M115" s="6">
        <v>79</v>
      </c>
      <c r="N115" s="59">
        <f t="shared" si="2"/>
        <v>66.5</v>
      </c>
    </row>
    <row r="116" spans="1:14">
      <c r="A116" s="44" t="s">
        <v>398</v>
      </c>
      <c r="B116" s="44"/>
      <c r="C116" s="35"/>
      <c r="D116" s="35">
        <v>45516</v>
      </c>
      <c r="E116" s="35">
        <v>45583</v>
      </c>
      <c r="F116" s="40"/>
      <c r="G116" s="40"/>
      <c r="H116" s="5"/>
      <c r="I116" s="102">
        <f>56.5/30*66*0.5</f>
        <v>62.15</v>
      </c>
      <c r="J116" s="40">
        <v>75</v>
      </c>
      <c r="K116" s="40"/>
      <c r="L116" s="6">
        <v>121.8</v>
      </c>
      <c r="M116" s="6">
        <v>47.5</v>
      </c>
      <c r="N116" s="59">
        <f t="shared" si="2"/>
        <v>52.01</v>
      </c>
    </row>
    <row r="117" spans="1:14">
      <c r="A117" s="44" t="s">
        <v>390</v>
      </c>
      <c r="B117" s="44"/>
      <c r="C117" s="35"/>
      <c r="D117" s="35">
        <v>45573</v>
      </c>
      <c r="E117" s="35">
        <v>45621</v>
      </c>
      <c r="F117" s="40"/>
      <c r="G117" s="40"/>
      <c r="H117" s="5">
        <v>16.940000000000001</v>
      </c>
      <c r="I117" s="102">
        <f>47.5/30*47</f>
        <v>74.416666666666657</v>
      </c>
      <c r="J117" s="40">
        <v>60</v>
      </c>
      <c r="K117" s="40"/>
      <c r="L117" s="6">
        <v>130</v>
      </c>
      <c r="M117" s="6">
        <v>63.5</v>
      </c>
      <c r="N117" s="59">
        <f>(L117-M117)*0.7</f>
        <v>46.55</v>
      </c>
    </row>
    <row r="118" spans="1:14">
      <c r="A118" s="44" t="s">
        <v>406</v>
      </c>
      <c r="B118" s="44"/>
      <c r="C118" s="35">
        <v>45624</v>
      </c>
      <c r="D118" s="35">
        <v>45631</v>
      </c>
      <c r="E118" s="35">
        <v>45631</v>
      </c>
      <c r="F118" s="40"/>
      <c r="G118" s="40"/>
      <c r="H118" s="5">
        <v>13.98</v>
      </c>
      <c r="I118" s="102"/>
      <c r="J118" s="40">
        <v>15</v>
      </c>
      <c r="K118" s="40"/>
      <c r="L118" s="6">
        <v>59</v>
      </c>
      <c r="M118" s="6">
        <v>38</v>
      </c>
      <c r="N118" s="59">
        <f>(L118-M118)*0.7</f>
        <v>14.7</v>
      </c>
    </row>
    <row r="119" spans="1:14">
      <c r="A119" s="44" t="s">
        <v>410</v>
      </c>
      <c r="B119" s="44"/>
      <c r="C119" s="35"/>
      <c r="D119" s="35"/>
      <c r="E119" s="35">
        <v>45613</v>
      </c>
      <c r="F119" s="40"/>
      <c r="G119" s="40"/>
      <c r="H119" s="5">
        <v>10</v>
      </c>
      <c r="I119" s="102">
        <f>-(14*14+14/30*13)</f>
        <v>-202.06666666666666</v>
      </c>
      <c r="J119" s="40">
        <v>15</v>
      </c>
      <c r="K119" s="40"/>
      <c r="L119" s="6">
        <v>30</v>
      </c>
      <c r="M119" s="6">
        <v>10</v>
      </c>
      <c r="N119" s="59">
        <f t="shared" ref="N119:N130" si="3">(L119-M119)*0.7</f>
        <v>14</v>
      </c>
    </row>
    <row r="120" spans="1:14">
      <c r="A120" s="44" t="s">
        <v>402</v>
      </c>
      <c r="B120" s="44"/>
      <c r="C120" s="35"/>
      <c r="D120" s="35">
        <v>45637</v>
      </c>
      <c r="E120" s="35">
        <v>45698</v>
      </c>
      <c r="F120" s="40"/>
      <c r="G120" s="40"/>
      <c r="H120" s="5">
        <v>13.98</v>
      </c>
      <c r="I120" s="102">
        <f>45/30*59</f>
        <v>88.5</v>
      </c>
      <c r="J120" s="40">
        <v>30</v>
      </c>
      <c r="K120" s="40"/>
      <c r="L120" s="6">
        <v>120</v>
      </c>
      <c r="M120" s="6">
        <v>45</v>
      </c>
      <c r="N120" s="59">
        <f t="shared" si="3"/>
        <v>52.5</v>
      </c>
    </row>
    <row r="121" spans="1:14">
      <c r="A121" s="44" t="s">
        <v>392</v>
      </c>
      <c r="B121" s="44"/>
      <c r="C121" s="35"/>
      <c r="D121" s="35"/>
      <c r="E121" s="35">
        <v>45694</v>
      </c>
      <c r="F121" s="40"/>
      <c r="G121" s="40"/>
      <c r="H121" s="5">
        <v>31.89</v>
      </c>
      <c r="I121" s="102" t="s">
        <v>414</v>
      </c>
      <c r="J121" s="40">
        <v>75</v>
      </c>
      <c r="K121" s="40"/>
      <c r="L121" s="6">
        <v>145</v>
      </c>
      <c r="M121" s="6">
        <v>72</v>
      </c>
      <c r="N121" s="59">
        <f t="shared" si="3"/>
        <v>51.099999999999994</v>
      </c>
    </row>
    <row r="122" spans="1:14">
      <c r="A122" s="44" t="s">
        <v>413</v>
      </c>
      <c r="B122" s="44"/>
      <c r="C122" s="35"/>
      <c r="D122" s="35"/>
      <c r="E122" s="35">
        <v>45730</v>
      </c>
      <c r="F122" s="40"/>
      <c r="G122" s="40"/>
      <c r="H122" s="5">
        <v>15.34</v>
      </c>
      <c r="I122" s="102"/>
      <c r="J122" s="40"/>
      <c r="K122" s="40"/>
      <c r="L122" s="6">
        <v>80</v>
      </c>
      <c r="M122" s="6">
        <v>28</v>
      </c>
      <c r="N122" s="59">
        <f t="shared" si="3"/>
        <v>36.4</v>
      </c>
    </row>
    <row r="123" spans="1:14">
      <c r="A123" s="44" t="s">
        <v>418</v>
      </c>
      <c r="B123" s="44"/>
      <c r="C123" s="35"/>
      <c r="D123" s="35"/>
      <c r="E123" s="35">
        <v>45737</v>
      </c>
      <c r="F123" s="40"/>
      <c r="G123" s="40"/>
      <c r="H123" s="5">
        <v>32.17</v>
      </c>
      <c r="I123" s="102"/>
      <c r="J123" s="40">
        <v>90</v>
      </c>
      <c r="K123" s="40"/>
      <c r="L123" s="6">
        <v>150</v>
      </c>
      <c r="M123" s="6">
        <v>43</v>
      </c>
      <c r="N123" s="59">
        <f t="shared" si="3"/>
        <v>74.899999999999991</v>
      </c>
    </row>
    <row r="124" spans="1:14">
      <c r="A124" s="44" t="s">
        <v>417</v>
      </c>
      <c r="B124" s="44"/>
      <c r="C124" s="35"/>
      <c r="D124" s="35"/>
      <c r="E124" s="35">
        <v>45687</v>
      </c>
      <c r="F124" s="40"/>
      <c r="G124" s="40"/>
      <c r="H124" s="5"/>
      <c r="I124" s="102"/>
      <c r="J124" s="40">
        <v>40</v>
      </c>
      <c r="K124" s="40"/>
      <c r="L124" s="6">
        <v>59</v>
      </c>
      <c r="M124" s="6">
        <v>43</v>
      </c>
      <c r="N124" s="59">
        <f t="shared" si="3"/>
        <v>11.2</v>
      </c>
    </row>
    <row r="125" spans="1:14">
      <c r="A125" s="44" t="s">
        <v>423</v>
      </c>
      <c r="B125" s="44"/>
      <c r="C125" s="35"/>
      <c r="D125" s="35"/>
      <c r="E125" s="35">
        <v>45714</v>
      </c>
      <c r="F125" s="40"/>
      <c r="G125" s="40"/>
      <c r="H125" s="5"/>
      <c r="I125" s="102"/>
      <c r="J125" s="40"/>
      <c r="K125" s="40"/>
      <c r="L125" s="6">
        <v>50</v>
      </c>
      <c r="M125" s="6">
        <v>41</v>
      </c>
      <c r="N125" s="59">
        <f t="shared" si="3"/>
        <v>6.3</v>
      </c>
    </row>
    <row r="126" spans="1:14">
      <c r="A126" s="44" t="s">
        <v>424</v>
      </c>
      <c r="B126" s="44"/>
      <c r="C126" s="35"/>
      <c r="D126" s="35"/>
      <c r="E126" s="35">
        <v>45750</v>
      </c>
      <c r="F126" s="40"/>
      <c r="G126" s="40"/>
      <c r="H126" s="5">
        <v>15.34</v>
      </c>
      <c r="I126" s="102"/>
      <c r="J126" s="40">
        <v>30</v>
      </c>
      <c r="K126" s="40"/>
      <c r="L126" s="6">
        <v>45</v>
      </c>
      <c r="M126" s="6">
        <v>7</v>
      </c>
      <c r="N126" s="59">
        <f t="shared" si="3"/>
        <v>26.599999999999998</v>
      </c>
    </row>
    <row r="127" spans="1:14">
      <c r="A127" s="44" t="s">
        <v>425</v>
      </c>
      <c r="B127" s="44"/>
      <c r="C127" s="35"/>
      <c r="D127" s="35"/>
      <c r="E127" s="35">
        <v>45765</v>
      </c>
      <c r="F127" s="40"/>
      <c r="G127" s="40"/>
      <c r="H127" s="5">
        <v>14.54</v>
      </c>
      <c r="I127" s="102"/>
      <c r="J127" s="40"/>
      <c r="K127" s="40"/>
      <c r="L127" s="6">
        <v>220</v>
      </c>
      <c r="M127" s="6">
        <v>99</v>
      </c>
      <c r="N127" s="59">
        <f t="shared" si="3"/>
        <v>84.699999999999989</v>
      </c>
    </row>
    <row r="128" spans="1:14">
      <c r="A128" s="44" t="s">
        <v>441</v>
      </c>
      <c r="B128" s="44"/>
      <c r="C128" s="35"/>
      <c r="D128" s="35"/>
      <c r="E128" s="35">
        <v>45853</v>
      </c>
      <c r="F128" s="40"/>
      <c r="G128" s="40"/>
      <c r="H128" s="5">
        <v>12.44</v>
      </c>
      <c r="I128" s="102"/>
      <c r="J128" s="40"/>
      <c r="K128" s="40"/>
      <c r="L128" s="6">
        <v>59</v>
      </c>
      <c r="M128" s="6">
        <v>38</v>
      </c>
      <c r="N128" s="59">
        <f t="shared" si="3"/>
        <v>14.7</v>
      </c>
    </row>
    <row r="129" spans="1:14">
      <c r="A129" s="44" t="s">
        <v>408</v>
      </c>
      <c r="B129" s="44"/>
      <c r="C129" s="35"/>
      <c r="D129" s="35"/>
      <c r="E129" s="35"/>
      <c r="F129" s="40"/>
      <c r="G129" s="40"/>
      <c r="H129" s="5"/>
      <c r="I129" s="102"/>
      <c r="J129" s="40"/>
      <c r="K129" s="40"/>
      <c r="L129" s="6">
        <v>69</v>
      </c>
      <c r="M129" s="6">
        <v>38</v>
      </c>
      <c r="N129" s="59">
        <f t="shared" si="3"/>
        <v>21.7</v>
      </c>
    </row>
    <row r="130" spans="1:14">
      <c r="A130" s="44" t="s">
        <v>462</v>
      </c>
      <c r="B130" s="44"/>
      <c r="C130" s="35"/>
      <c r="D130" s="35"/>
      <c r="E130" s="35"/>
      <c r="F130" s="40"/>
      <c r="G130" s="40"/>
      <c r="H130" s="5"/>
      <c r="I130" s="102"/>
      <c r="J130" s="40"/>
      <c r="K130" s="40"/>
      <c r="L130" s="6">
        <v>40</v>
      </c>
      <c r="M130" s="6">
        <v>7</v>
      </c>
      <c r="N130" s="59">
        <f t="shared" si="3"/>
        <v>23.099999999999998</v>
      </c>
    </row>
    <row r="131" spans="1:14">
      <c r="A131" s="44" t="s">
        <v>470</v>
      </c>
      <c r="B131" s="44"/>
      <c r="C131" s="35"/>
      <c r="D131" s="35"/>
      <c r="E131" s="35">
        <v>45875</v>
      </c>
      <c r="F131" s="40"/>
      <c r="G131" s="40"/>
      <c r="H131" s="5">
        <v>12.44</v>
      </c>
      <c r="I131" s="102"/>
      <c r="J131" s="40"/>
      <c r="K131" s="40"/>
      <c r="L131" s="6">
        <v>59</v>
      </c>
      <c r="M131" s="6">
        <v>38</v>
      </c>
      <c r="N131" s="59">
        <f t="shared" ref="N131:N140" si="4">(L131-M131)*0.7</f>
        <v>14.7</v>
      </c>
    </row>
    <row r="132" spans="1:14">
      <c r="A132" s="44" t="s">
        <v>469</v>
      </c>
      <c r="B132" s="44"/>
      <c r="C132" s="35"/>
      <c r="D132" s="35"/>
      <c r="E132" s="35">
        <v>45875</v>
      </c>
      <c r="F132" s="40"/>
      <c r="G132" s="40"/>
      <c r="H132" s="5">
        <v>12.44</v>
      </c>
      <c r="I132" s="102"/>
      <c r="J132" s="40"/>
      <c r="K132" s="40"/>
      <c r="L132" s="6">
        <v>59</v>
      </c>
      <c r="M132" s="6">
        <v>38</v>
      </c>
      <c r="N132" s="59">
        <f t="shared" si="4"/>
        <v>14.7</v>
      </c>
    </row>
    <row r="133" spans="1:14">
      <c r="A133" s="44" t="s">
        <v>471</v>
      </c>
      <c r="B133" s="44"/>
      <c r="C133" s="35"/>
      <c r="D133" s="35"/>
      <c r="E133" s="35">
        <v>45908</v>
      </c>
      <c r="F133" s="40"/>
      <c r="G133" s="40"/>
      <c r="H133" s="5">
        <v>12.44</v>
      </c>
      <c r="I133" s="102"/>
      <c r="J133" s="40"/>
      <c r="K133" s="40"/>
      <c r="L133" s="6">
        <v>59</v>
      </c>
      <c r="M133" s="6">
        <v>38</v>
      </c>
      <c r="N133" s="59">
        <f t="shared" si="4"/>
        <v>14.7</v>
      </c>
    </row>
    <row r="134" spans="1:14">
      <c r="A134" s="44" t="s">
        <v>64</v>
      </c>
      <c r="B134" s="44"/>
      <c r="C134" s="35"/>
      <c r="D134" s="35"/>
      <c r="E134" s="35">
        <v>45951</v>
      </c>
      <c r="F134" s="40"/>
      <c r="G134" s="40"/>
      <c r="H134" s="5">
        <v>13.54</v>
      </c>
      <c r="I134" s="102"/>
      <c r="J134" s="40"/>
      <c r="K134" s="40"/>
      <c r="L134" s="6">
        <v>59</v>
      </c>
      <c r="M134" s="6">
        <v>38</v>
      </c>
      <c r="N134" s="59">
        <f t="shared" si="4"/>
        <v>14.7</v>
      </c>
    </row>
    <row r="135" spans="1:14">
      <c r="A135" s="44" t="s">
        <v>490</v>
      </c>
      <c r="B135" s="44"/>
      <c r="C135" s="35"/>
      <c r="D135" s="35"/>
      <c r="E135" s="35">
        <v>45943</v>
      </c>
      <c r="F135" s="40"/>
      <c r="G135" s="40"/>
      <c r="H135" s="5">
        <v>13.44</v>
      </c>
      <c r="I135" s="102"/>
      <c r="J135" s="40"/>
      <c r="K135" s="40"/>
      <c r="L135" s="6">
        <v>69</v>
      </c>
      <c r="M135" s="6">
        <v>38</v>
      </c>
      <c r="N135" s="59">
        <f t="shared" si="4"/>
        <v>21.7</v>
      </c>
    </row>
    <row r="136" spans="1:14">
      <c r="A136" s="44" t="s">
        <v>493</v>
      </c>
      <c r="B136" s="44"/>
      <c r="C136" s="35"/>
      <c r="D136" s="35"/>
      <c r="E136" s="35">
        <v>45890</v>
      </c>
      <c r="F136" s="40"/>
      <c r="G136" s="40"/>
      <c r="H136" s="5">
        <v>13.44</v>
      </c>
      <c r="I136" s="102"/>
      <c r="J136" s="40"/>
      <c r="K136" s="40"/>
      <c r="L136" s="6">
        <v>59</v>
      </c>
      <c r="M136" s="6">
        <v>38</v>
      </c>
      <c r="N136" s="59">
        <f t="shared" si="4"/>
        <v>14.7</v>
      </c>
    </row>
    <row r="137" spans="1:14">
      <c r="A137" s="44" t="s">
        <v>496</v>
      </c>
      <c r="B137" s="44"/>
      <c r="C137" s="35"/>
      <c r="D137" s="35"/>
      <c r="E137" s="35">
        <v>42297</v>
      </c>
      <c r="F137" s="40"/>
      <c r="G137" s="40"/>
      <c r="H137" s="5">
        <v>12.44</v>
      </c>
      <c r="I137" s="102"/>
      <c r="J137" s="40">
        <v>60</v>
      </c>
      <c r="K137" s="40"/>
      <c r="L137" s="6">
        <v>60</v>
      </c>
      <c r="M137" s="6">
        <v>25</v>
      </c>
      <c r="N137" s="59">
        <f t="shared" si="4"/>
        <v>24.5</v>
      </c>
    </row>
    <row r="138" spans="1:14">
      <c r="A138" s="44" t="s">
        <v>497</v>
      </c>
      <c r="B138" s="44"/>
      <c r="C138" s="35"/>
      <c r="D138" s="35"/>
      <c r="E138" s="35">
        <v>45755</v>
      </c>
      <c r="F138" s="40"/>
      <c r="G138" s="40"/>
      <c r="H138" s="5">
        <v>12.44</v>
      </c>
      <c r="I138" s="102"/>
      <c r="J138" s="40"/>
      <c r="K138" s="40"/>
      <c r="L138" s="6">
        <v>59</v>
      </c>
      <c r="M138" s="6">
        <v>38</v>
      </c>
      <c r="N138" s="59">
        <f t="shared" si="4"/>
        <v>14.7</v>
      </c>
    </row>
    <row r="139" spans="1:14">
      <c r="A139" s="44" t="s">
        <v>500</v>
      </c>
      <c r="B139" s="44"/>
      <c r="C139" s="35"/>
      <c r="D139" s="35"/>
      <c r="E139" s="35">
        <v>45874</v>
      </c>
      <c r="F139" s="40"/>
      <c r="G139" s="40"/>
      <c r="H139" s="5">
        <v>14.54</v>
      </c>
      <c r="I139" s="102"/>
      <c r="J139" s="40"/>
      <c r="K139" s="40"/>
      <c r="L139" s="6">
        <v>75</v>
      </c>
      <c r="M139" s="6">
        <f>38+3.5</f>
        <v>41.5</v>
      </c>
      <c r="N139" s="59">
        <f t="shared" si="4"/>
        <v>23.45</v>
      </c>
    </row>
    <row r="140" spans="1:14">
      <c r="A140" s="44" t="s">
        <v>513</v>
      </c>
      <c r="B140" s="44"/>
      <c r="C140" s="35"/>
      <c r="D140" s="35"/>
      <c r="E140" s="35"/>
      <c r="F140" s="40"/>
      <c r="G140" s="40"/>
      <c r="H140" s="5"/>
      <c r="I140" s="102"/>
      <c r="J140" s="40"/>
      <c r="K140" s="40"/>
      <c r="L140" s="6">
        <v>80</v>
      </c>
      <c r="M140" s="6">
        <v>16</v>
      </c>
      <c r="N140" s="59">
        <f t="shared" si="4"/>
        <v>44.8</v>
      </c>
    </row>
    <row r="141" spans="1:14">
      <c r="A141" s="44" t="s">
        <v>520</v>
      </c>
      <c r="B141" s="44"/>
      <c r="C141" s="35"/>
      <c r="D141" s="35"/>
      <c r="E141" s="35"/>
      <c r="F141" s="40"/>
      <c r="G141" s="40"/>
      <c r="H141" s="5"/>
      <c r="I141" s="102"/>
      <c r="J141" s="40"/>
      <c r="K141" s="40"/>
      <c r="L141" s="6">
        <v>69</v>
      </c>
      <c r="M141" s="6">
        <v>43</v>
      </c>
      <c r="N141" s="59">
        <f>(L141-M141)*0.7*12</f>
        <v>218.39999999999998</v>
      </c>
    </row>
    <row r="142" spans="1:14">
      <c r="C142" s="36"/>
      <c r="D142" s="36"/>
      <c r="F142" s="28"/>
      <c r="G142" s="28"/>
      <c r="H142" s="30"/>
      <c r="I142" s="30"/>
      <c r="M142" s="62" t="s">
        <v>4</v>
      </c>
      <c r="N142" s="18">
        <f>SUM(N2:N141)</f>
        <v>5012.2899999999963</v>
      </c>
    </row>
    <row r="143" spans="1:14">
      <c r="C143" s="36"/>
      <c r="D143" s="36"/>
      <c r="F143" s="28"/>
      <c r="G143" s="28"/>
      <c r="H143" s="30"/>
      <c r="I143" s="104"/>
      <c r="M143" s="61" t="s">
        <v>251</v>
      </c>
      <c r="N143" s="6">
        <f>N142+M161</f>
        <v>4975.3259999999964</v>
      </c>
    </row>
    <row r="144" spans="1:14">
      <c r="C144" s="36"/>
      <c r="D144" s="36"/>
      <c r="F144" s="28"/>
      <c r="G144" s="28"/>
      <c r="H144" s="30"/>
      <c r="I144" s="104"/>
    </row>
    <row r="145" spans="1:16">
      <c r="M145" s="1"/>
    </row>
    <row r="146" spans="1:16">
      <c r="A146" s="28"/>
      <c r="B146" s="28"/>
      <c r="E146" s="15"/>
      <c r="F146" s="1"/>
      <c r="G146" s="1"/>
      <c r="H146" s="1"/>
      <c r="J146" s="1"/>
      <c r="K146" s="1"/>
      <c r="L146" t="s">
        <v>505</v>
      </c>
      <c r="M146" s="1"/>
      <c r="N146" s="66"/>
    </row>
    <row r="147" spans="1:16">
      <c r="L147" s="1" t="s">
        <v>506</v>
      </c>
      <c r="M147" s="1"/>
    </row>
    <row r="148" spans="1:16">
      <c r="L148" s="69" t="s">
        <v>507</v>
      </c>
      <c r="M148"/>
      <c r="P148" s="42"/>
    </row>
    <row r="149" spans="1:16">
      <c r="L149" s="1" t="s">
        <v>508</v>
      </c>
      <c r="M149" s="66">
        <f>-104*0.8</f>
        <v>-83.2</v>
      </c>
    </row>
    <row r="150" spans="1:16">
      <c r="L150" s="1" t="s">
        <v>509</v>
      </c>
      <c r="M150" s="66">
        <f>-15.38*0.8</f>
        <v>-12.304000000000002</v>
      </c>
    </row>
    <row r="151" spans="1:16">
      <c r="L151" s="1" t="s">
        <v>510</v>
      </c>
      <c r="M151" s="66">
        <v>-22</v>
      </c>
      <c r="N151" s="108"/>
      <c r="P151" s="42"/>
    </row>
    <row r="152" spans="1:16">
      <c r="L152" s="1" t="s">
        <v>511</v>
      </c>
      <c r="M152" s="66">
        <v>-16.8</v>
      </c>
    </row>
    <row r="153" spans="1:16">
      <c r="L153" s="1" t="s">
        <v>512</v>
      </c>
      <c r="M153" s="66">
        <f>-(2.9*30+20)</f>
        <v>-107</v>
      </c>
      <c r="N153" s="1"/>
      <c r="P153" s="42"/>
    </row>
    <row r="154" spans="1:16">
      <c r="L154" s="1" t="s">
        <v>514</v>
      </c>
      <c r="M154" s="66">
        <v>-33.28</v>
      </c>
      <c r="N154" s="1"/>
      <c r="P154" s="42"/>
    </row>
    <row r="155" spans="1:16">
      <c r="L155" s="1" t="s">
        <v>515</v>
      </c>
      <c r="M155" s="66">
        <f>-230.4*0.8</f>
        <v>-184.32000000000002</v>
      </c>
      <c r="N155" s="1"/>
      <c r="P155" s="42"/>
    </row>
    <row r="156" spans="1:16">
      <c r="L156" s="1" t="s">
        <v>516</v>
      </c>
      <c r="M156" s="66">
        <f>-27.2*0.8</f>
        <v>-21.76</v>
      </c>
      <c r="N156" s="1"/>
      <c r="P156" s="42"/>
    </row>
    <row r="157" spans="1:16">
      <c r="L157" s="1" t="s">
        <v>517</v>
      </c>
      <c r="M157" s="66">
        <f>-90*0.8</f>
        <v>-72</v>
      </c>
      <c r="N157" s="1"/>
      <c r="P157" s="42"/>
    </row>
    <row r="158" spans="1:16">
      <c r="L158" s="1" t="s">
        <v>518</v>
      </c>
      <c r="M158" s="66">
        <f>-17*0.8</f>
        <v>-13.600000000000001</v>
      </c>
      <c r="N158" s="1"/>
      <c r="P158" s="42"/>
    </row>
    <row r="159" spans="1:16" s="66" customFormat="1">
      <c r="A159"/>
      <c r="B159"/>
      <c r="C159"/>
      <c r="D159"/>
      <c r="E159"/>
      <c r="F159"/>
      <c r="G159"/>
      <c r="H159"/>
      <c r="I159" s="105"/>
      <c r="J159"/>
      <c r="K159"/>
      <c r="L159" s="1" t="s">
        <v>519</v>
      </c>
      <c r="M159" s="66">
        <v>345</v>
      </c>
      <c r="N159"/>
      <c r="O159"/>
      <c r="P159"/>
    </row>
    <row r="160" spans="1:16" s="66" customFormat="1">
      <c r="A160"/>
      <c r="B160"/>
      <c r="C160"/>
      <c r="D160"/>
      <c r="E160"/>
      <c r="F160"/>
      <c r="G160"/>
      <c r="H160"/>
      <c r="I160" s="105"/>
      <c r="J160"/>
      <c r="K160"/>
      <c r="L160" t="s">
        <v>473</v>
      </c>
      <c r="M160" s="1">
        <v>184.3</v>
      </c>
      <c r="N160"/>
      <c r="O160"/>
      <c r="P160"/>
    </row>
    <row r="161" spans="13:13">
      <c r="M161" s="66">
        <f>SUM(M149:M160)</f>
        <v>-36.963999999999999</v>
      </c>
    </row>
  </sheetData>
  <autoFilter ref="A1:P143">
    <sortState ref="A2:P79">
      <sortCondition ref="B1:B79"/>
    </sortState>
  </autoFilter>
  <pageMargins left="0.7" right="0.7" top="0.75" bottom="0.75" header="0.3" footer="0.3"/>
  <pageSetup paperSize="9" orientation="portrait" r:id="rId1"/>
</worksheet>
</file>

<file path=xl/worksheets/sheet104.xml><?xml version="1.0" encoding="utf-8"?>
<worksheet xmlns="http://schemas.openxmlformats.org/spreadsheetml/2006/main" xmlns:r="http://schemas.openxmlformats.org/officeDocument/2006/relationships">
  <dimension ref="A1:P163"/>
  <sheetViews>
    <sheetView topLeftCell="C140" workbookViewId="0">
      <selection activeCell="L147" sqref="L147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2" max="12" width="19.140625" customWidth="1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28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45</v>
      </c>
      <c r="M3" s="61">
        <v>25</v>
      </c>
      <c r="N3" s="6">
        <f t="shared" si="0"/>
        <v>14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30</v>
      </c>
      <c r="M8" s="61">
        <v>7</v>
      </c>
      <c r="N8" s="6">
        <f t="shared" si="0"/>
        <v>16.099999999999998</v>
      </c>
    </row>
    <row r="9" spans="1:15">
      <c r="A9" s="2" t="s">
        <v>27</v>
      </c>
      <c r="B9" s="2"/>
      <c r="C9" s="4">
        <v>42656</v>
      </c>
      <c r="D9" s="4"/>
      <c r="E9" s="4">
        <v>42705</v>
      </c>
      <c r="F9" s="5"/>
      <c r="G9" s="49"/>
      <c r="H9" s="5">
        <v>8.17</v>
      </c>
      <c r="I9" s="102">
        <f>M9/30*47</f>
        <v>39.166666666666671</v>
      </c>
      <c r="J9" s="5"/>
      <c r="K9" s="5"/>
      <c r="L9" s="6">
        <v>40</v>
      </c>
      <c r="M9" s="62">
        <v>25</v>
      </c>
      <c r="N9" s="18">
        <f t="shared" si="0"/>
        <v>10.5</v>
      </c>
    </row>
    <row r="10" spans="1:15">
      <c r="A10" s="2" t="s">
        <v>29</v>
      </c>
      <c r="B10" s="2"/>
      <c r="C10" s="4">
        <v>42683</v>
      </c>
      <c r="D10" s="4"/>
      <c r="E10" s="4">
        <v>42718</v>
      </c>
      <c r="F10" s="5"/>
      <c r="G10" s="49"/>
      <c r="H10" s="5">
        <v>8.9700000000000006</v>
      </c>
      <c r="I10" s="102">
        <f>M10/30*35</f>
        <v>42</v>
      </c>
      <c r="J10" s="5"/>
      <c r="K10" s="5"/>
      <c r="L10" s="6">
        <f>105</f>
        <v>105</v>
      </c>
      <c r="M10" s="62">
        <v>36</v>
      </c>
      <c r="N10" s="18">
        <f t="shared" si="0"/>
        <v>48.3</v>
      </c>
    </row>
    <row r="11" spans="1:15">
      <c r="A11" s="2" t="s">
        <v>28</v>
      </c>
      <c r="B11" s="2"/>
      <c r="C11" s="4">
        <v>42711</v>
      </c>
      <c r="D11" s="4"/>
      <c r="E11" s="4">
        <v>42734</v>
      </c>
      <c r="F11" s="5"/>
      <c r="G11" s="49"/>
      <c r="H11" s="5">
        <v>8.17</v>
      </c>
      <c r="I11" s="102">
        <f>M11/30*23</f>
        <v>19.166666666666668</v>
      </c>
      <c r="J11" s="5"/>
      <c r="K11" s="5"/>
      <c r="L11" s="6">
        <v>40</v>
      </c>
      <c r="M11" s="62">
        <v>25</v>
      </c>
      <c r="N11" s="18">
        <f t="shared" si="0"/>
        <v>10.5</v>
      </c>
    </row>
    <row r="12" spans="1:15">
      <c r="A12" s="2" t="s">
        <v>32</v>
      </c>
      <c r="B12" s="2"/>
      <c r="C12" s="4">
        <v>42857</v>
      </c>
      <c r="D12" s="4"/>
      <c r="E12" s="4">
        <v>42866</v>
      </c>
      <c r="F12" s="5"/>
      <c r="G12" s="49"/>
      <c r="H12" s="5"/>
      <c r="I12" s="102">
        <f>23/30*9</f>
        <v>6.9</v>
      </c>
      <c r="J12" s="5">
        <f>60*0.7</f>
        <v>42</v>
      </c>
      <c r="K12" s="5"/>
      <c r="L12" s="6">
        <v>60</v>
      </c>
      <c r="M12" s="61">
        <v>23</v>
      </c>
      <c r="N12" s="6">
        <f t="shared" si="0"/>
        <v>25.9</v>
      </c>
    </row>
    <row r="13" spans="1:15">
      <c r="A13" s="2" t="s">
        <v>37</v>
      </c>
      <c r="B13" s="2"/>
      <c r="C13" s="4">
        <v>42891</v>
      </c>
      <c r="D13" s="4"/>
      <c r="E13" s="4">
        <v>42915</v>
      </c>
      <c r="F13" s="5"/>
      <c r="G13" s="49"/>
      <c r="H13" s="5">
        <v>6.83</v>
      </c>
      <c r="I13" s="102">
        <f>24/30*24</f>
        <v>19.200000000000003</v>
      </c>
      <c r="J13" s="5"/>
      <c r="K13" s="5"/>
      <c r="L13" s="6">
        <f>69+70</f>
        <v>139</v>
      </c>
      <c r="M13" s="61">
        <f>38+7+18</f>
        <v>63</v>
      </c>
      <c r="N13" s="6">
        <f t="shared" si="0"/>
        <v>53.199999999999996</v>
      </c>
    </row>
    <row r="14" spans="1:15">
      <c r="A14" s="2" t="s">
        <v>39</v>
      </c>
      <c r="B14" s="2"/>
      <c r="C14" s="4">
        <v>43081</v>
      </c>
      <c r="D14" s="4"/>
      <c r="E14" s="4">
        <v>43109</v>
      </c>
      <c r="F14" s="5"/>
      <c r="G14" s="49"/>
      <c r="H14" s="5">
        <v>9.83</v>
      </c>
      <c r="I14" s="102">
        <f>36/30*28</f>
        <v>33.6</v>
      </c>
      <c r="J14" s="5"/>
      <c r="K14" s="5"/>
      <c r="L14" s="6">
        <v>120</v>
      </c>
      <c r="M14" s="61">
        <v>36</v>
      </c>
      <c r="N14" s="6">
        <f t="shared" si="0"/>
        <v>58.8</v>
      </c>
    </row>
    <row r="15" spans="1:15">
      <c r="A15" s="22" t="s">
        <v>56</v>
      </c>
      <c r="B15" s="22"/>
      <c r="C15" s="4">
        <v>43361</v>
      </c>
      <c r="D15" s="4"/>
      <c r="E15" s="4">
        <v>43132</v>
      </c>
      <c r="F15" s="5"/>
      <c r="G15" s="49"/>
      <c r="H15" s="5">
        <v>14.11</v>
      </c>
      <c r="I15" s="102">
        <f>25*4+25/30*12</f>
        <v>110</v>
      </c>
      <c r="J15" s="5"/>
      <c r="K15" s="5"/>
      <c r="L15" s="6">
        <v>75</v>
      </c>
      <c r="M15" s="61">
        <v>25</v>
      </c>
      <c r="N15" s="6">
        <f t="shared" si="0"/>
        <v>35</v>
      </c>
    </row>
    <row r="16" spans="1:15">
      <c r="A16" s="2" t="s">
        <v>44</v>
      </c>
      <c r="B16" s="2"/>
      <c r="C16" s="4">
        <v>43196</v>
      </c>
      <c r="D16" s="4"/>
      <c r="E16" s="4">
        <v>43250</v>
      </c>
      <c r="F16" s="5"/>
      <c r="G16" s="49"/>
      <c r="H16" s="5">
        <v>13.78</v>
      </c>
      <c r="I16" s="102">
        <f>25*24/30+25</f>
        <v>45</v>
      </c>
      <c r="J16" s="5"/>
      <c r="K16" s="5"/>
      <c r="L16" s="6">
        <v>11</v>
      </c>
      <c r="M16" s="61">
        <v>25</v>
      </c>
      <c r="N16" s="6">
        <v>9.7999999999999989</v>
      </c>
    </row>
    <row r="17" spans="1:15">
      <c r="A17" s="22" t="s">
        <v>47</v>
      </c>
      <c r="B17" s="22"/>
      <c r="C17" s="4">
        <v>43355</v>
      </c>
      <c r="D17" s="4"/>
      <c r="E17" s="4">
        <v>43277</v>
      </c>
      <c r="F17" s="5"/>
      <c r="G17" s="49"/>
      <c r="H17" s="5">
        <v>19.98</v>
      </c>
      <c r="I17" s="102">
        <f>36*2+36/30*16</f>
        <v>91.2</v>
      </c>
      <c r="J17" s="5"/>
      <c r="K17" s="5"/>
      <c r="L17" s="6">
        <v>105</v>
      </c>
      <c r="M17" s="61">
        <v>36</v>
      </c>
      <c r="N17" s="6">
        <f t="shared" si="0"/>
        <v>48.3</v>
      </c>
    </row>
    <row r="18" spans="1:15">
      <c r="A18" s="22" t="s">
        <v>48</v>
      </c>
      <c r="B18" s="22"/>
      <c r="C18" s="4">
        <v>43367</v>
      </c>
      <c r="D18" s="4"/>
      <c r="E18" s="4">
        <v>43284</v>
      </c>
      <c r="F18" s="5"/>
      <c r="G18" s="49"/>
      <c r="H18" s="5">
        <v>9.1</v>
      </c>
      <c r="I18" s="102">
        <f>25+25/30*27</f>
        <v>47.5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45</v>
      </c>
      <c r="B19" s="2"/>
      <c r="C19" s="4"/>
      <c r="D19" s="4"/>
      <c r="E19" s="4">
        <v>43286</v>
      </c>
      <c r="F19" s="5"/>
      <c r="G19" s="49"/>
      <c r="H19" s="5">
        <v>11.56</v>
      </c>
      <c r="I19" s="102"/>
      <c r="J19" s="5"/>
      <c r="K19" s="5"/>
      <c r="L19" s="6">
        <v>150</v>
      </c>
      <c r="M19" s="61">
        <v>76</v>
      </c>
      <c r="N19" s="6">
        <f t="shared" si="0"/>
        <v>51.8</v>
      </c>
      <c r="O19" s="20"/>
    </row>
    <row r="20" spans="1:15">
      <c r="A20" s="22" t="s">
        <v>49</v>
      </c>
      <c r="B20" s="22"/>
      <c r="C20" s="4">
        <v>43367</v>
      </c>
      <c r="D20" s="4"/>
      <c r="E20" s="4">
        <v>43291</v>
      </c>
      <c r="F20" s="5"/>
      <c r="G20" s="49"/>
      <c r="H20" s="5">
        <v>10.039999999999999</v>
      </c>
      <c r="I20" s="102">
        <f>50+25/30*14</f>
        <v>61.666666666666671</v>
      </c>
      <c r="J20" s="5"/>
      <c r="K20" s="5"/>
      <c r="L20" s="6">
        <v>50</v>
      </c>
      <c r="M20" s="61">
        <v>22</v>
      </c>
      <c r="N20" s="18">
        <f t="shared" si="0"/>
        <v>19.599999999999998</v>
      </c>
    </row>
    <row r="21" spans="1:15">
      <c r="A21" s="22" t="s">
        <v>51</v>
      </c>
      <c r="B21" s="22"/>
      <c r="C21" s="4">
        <v>43358</v>
      </c>
      <c r="D21" s="4"/>
      <c r="E21" s="4">
        <v>43291</v>
      </c>
      <c r="F21" s="5"/>
      <c r="G21" s="49"/>
      <c r="H21" s="5">
        <v>10.039999999999999</v>
      </c>
      <c r="I21" s="102">
        <f>50+25/30*5</f>
        <v>54.166666666666664</v>
      </c>
      <c r="J21" s="5"/>
      <c r="K21" s="5"/>
      <c r="L21" s="6">
        <v>75</v>
      </c>
      <c r="M21" s="61">
        <v>25</v>
      </c>
      <c r="N21" s="6">
        <f t="shared" si="0"/>
        <v>35</v>
      </c>
    </row>
    <row r="22" spans="1:15">
      <c r="A22" s="22" t="s">
        <v>52</v>
      </c>
      <c r="B22" s="22"/>
      <c r="C22" s="4">
        <v>43367</v>
      </c>
      <c r="D22" s="4"/>
      <c r="E22" s="4">
        <v>43308</v>
      </c>
      <c r="F22" s="5"/>
      <c r="G22" s="49"/>
      <c r="H22" s="5">
        <v>10.86</v>
      </c>
      <c r="I22" s="102">
        <f>25+25/30*27</f>
        <v>47.5</v>
      </c>
      <c r="J22" s="5"/>
      <c r="K22" s="5"/>
      <c r="L22" s="6">
        <v>75</v>
      </c>
      <c r="M22" s="61">
        <v>25</v>
      </c>
      <c r="N22" s="27">
        <f t="shared" si="0"/>
        <v>35</v>
      </c>
    </row>
    <row r="23" spans="1:15">
      <c r="A23" s="22" t="s">
        <v>50</v>
      </c>
      <c r="B23" s="22"/>
      <c r="C23" s="4">
        <v>43367</v>
      </c>
      <c r="D23" s="4"/>
      <c r="E23" s="4">
        <v>43312</v>
      </c>
      <c r="F23" s="5"/>
      <c r="G23" s="49"/>
      <c r="H23" s="5">
        <v>10.86</v>
      </c>
      <c r="I23" s="102">
        <f>25+25/30*24</f>
        <v>45</v>
      </c>
      <c r="J23" s="5"/>
      <c r="K23" s="5"/>
      <c r="L23" s="6">
        <v>70</v>
      </c>
      <c r="M23" s="61">
        <v>25</v>
      </c>
      <c r="N23" s="6">
        <f t="shared" si="0"/>
        <v>31.499999999999996</v>
      </c>
    </row>
    <row r="24" spans="1:15">
      <c r="A24" s="22" t="s">
        <v>55</v>
      </c>
      <c r="B24" s="22"/>
      <c r="C24" s="4">
        <v>43363</v>
      </c>
      <c r="D24" s="4"/>
      <c r="E24" s="4">
        <v>43440</v>
      </c>
      <c r="F24" s="5"/>
      <c r="G24" s="49"/>
      <c r="H24" s="5">
        <v>14.11</v>
      </c>
      <c r="I24" s="102">
        <f>25*2+25*16/30</f>
        <v>63.333333333333336</v>
      </c>
      <c r="J24" s="5"/>
      <c r="K24" s="5"/>
      <c r="L24" s="6">
        <v>75</v>
      </c>
      <c r="M24" s="61">
        <v>25</v>
      </c>
      <c r="N24" s="6">
        <f t="shared" si="0"/>
        <v>35</v>
      </c>
    </row>
    <row r="25" spans="1:15">
      <c r="A25" s="22" t="s">
        <v>57</v>
      </c>
      <c r="B25" s="55"/>
      <c r="C25" s="31">
        <v>43478</v>
      </c>
      <c r="D25" s="31"/>
      <c r="E25" s="4">
        <v>43536</v>
      </c>
      <c r="F25" s="5"/>
      <c r="G25" s="49"/>
      <c r="H25" s="5">
        <v>10.86</v>
      </c>
      <c r="I25" s="102">
        <v>25</v>
      </c>
      <c r="J25" s="5"/>
      <c r="K25" s="5"/>
      <c r="L25" s="6">
        <v>70</v>
      </c>
      <c r="M25" s="61">
        <v>25</v>
      </c>
      <c r="N25" s="6">
        <f t="shared" si="0"/>
        <v>31.499999999999996</v>
      </c>
    </row>
    <row r="26" spans="1:15">
      <c r="A26" s="22" t="s">
        <v>59</v>
      </c>
      <c r="B26" s="22"/>
      <c r="C26" s="4">
        <v>43528</v>
      </c>
      <c r="D26" s="4"/>
      <c r="E26" s="4">
        <v>43538</v>
      </c>
      <c r="F26" s="5"/>
      <c r="G26" s="49"/>
      <c r="H26" s="5">
        <v>14.92</v>
      </c>
      <c r="I26" s="102">
        <f>77/30*10</f>
        <v>25.666666666666668</v>
      </c>
      <c r="J26" s="5"/>
      <c r="K26" s="5"/>
      <c r="L26" s="6">
        <v>169</v>
      </c>
      <c r="M26" s="61">
        <f>64+11+2</f>
        <v>77</v>
      </c>
      <c r="N26" s="6">
        <f t="shared" si="0"/>
        <v>64.399999999999991</v>
      </c>
    </row>
    <row r="27" spans="1:15">
      <c r="A27" s="22" t="s">
        <v>58</v>
      </c>
      <c r="B27" s="22"/>
      <c r="C27" s="4">
        <v>43534</v>
      </c>
      <c r="D27" s="4"/>
      <c r="E27" s="4">
        <v>43542</v>
      </c>
      <c r="F27" s="5"/>
      <c r="G27" s="49"/>
      <c r="H27" s="5">
        <f>10.86*2</f>
        <v>21.72</v>
      </c>
      <c r="I27" s="102">
        <v>0</v>
      </c>
      <c r="J27" s="5"/>
      <c r="K27" s="5"/>
      <c r="L27" s="6">
        <v>30</v>
      </c>
      <c r="M27" s="61">
        <v>22</v>
      </c>
      <c r="N27" s="6">
        <v>18.899999999999999</v>
      </c>
    </row>
    <row r="28" spans="1:15">
      <c r="A28" s="22" t="s">
        <v>61</v>
      </c>
      <c r="B28" s="22"/>
      <c r="C28" s="4">
        <v>43482</v>
      </c>
      <c r="D28" s="4"/>
      <c r="E28" s="4">
        <v>43542</v>
      </c>
      <c r="F28" s="5"/>
      <c r="G28" s="49"/>
      <c r="H28" s="5">
        <v>11.1</v>
      </c>
      <c r="I28" s="102">
        <f>25*2</f>
        <v>50</v>
      </c>
      <c r="J28" s="5"/>
      <c r="K28" s="5"/>
      <c r="L28" s="6">
        <v>70</v>
      </c>
      <c r="M28" s="61">
        <v>26</v>
      </c>
      <c r="N28" s="6">
        <f t="shared" si="0"/>
        <v>30.799999999999997</v>
      </c>
    </row>
    <row r="29" spans="1:15">
      <c r="A29" s="22" t="s">
        <v>67</v>
      </c>
      <c r="B29" s="22"/>
      <c r="C29" s="4">
        <v>43600</v>
      </c>
      <c r="D29" s="4"/>
      <c r="E29" s="4">
        <v>43629</v>
      </c>
      <c r="F29" s="5"/>
      <c r="G29" s="49"/>
      <c r="H29" s="5">
        <f>10.86*2</f>
        <v>21.72</v>
      </c>
      <c r="I29" s="102">
        <f>22/30*58</f>
        <v>42.533333333333331</v>
      </c>
      <c r="J29" s="5">
        <v>50</v>
      </c>
      <c r="K29" s="5">
        <f>H29+I29+J29</f>
        <v>114.25333333333333</v>
      </c>
      <c r="L29" s="6">
        <v>60</v>
      </c>
      <c r="M29" s="61">
        <v>25</v>
      </c>
      <c r="N29" s="6">
        <v>0</v>
      </c>
    </row>
    <row r="30" spans="1:15">
      <c r="A30" s="22" t="s">
        <v>66</v>
      </c>
      <c r="B30" s="22"/>
      <c r="C30" s="4">
        <v>43600</v>
      </c>
      <c r="D30" s="4"/>
      <c r="E30" s="4">
        <v>43629</v>
      </c>
      <c r="F30" s="5"/>
      <c r="G30" s="49"/>
      <c r="H30" s="5">
        <f>10.86</f>
        <v>10.86</v>
      </c>
      <c r="I30" s="102">
        <f>39/30*58</f>
        <v>75.400000000000006</v>
      </c>
      <c r="J30" s="5"/>
      <c r="K30" s="5">
        <f>H30+I30</f>
        <v>86.26</v>
      </c>
      <c r="L30" s="6">
        <v>110</v>
      </c>
      <c r="M30" s="61">
        <f>25+11+3</f>
        <v>39</v>
      </c>
      <c r="N30" s="6">
        <v>0</v>
      </c>
      <c r="O30" t="s">
        <v>73</v>
      </c>
    </row>
    <row r="31" spans="1:15">
      <c r="A31" s="22" t="s">
        <v>64</v>
      </c>
      <c r="B31" s="22"/>
      <c r="C31" s="4">
        <v>43627</v>
      </c>
      <c r="D31" s="4"/>
      <c r="E31" s="4">
        <v>43629</v>
      </c>
      <c r="F31" s="5"/>
      <c r="G31" s="49"/>
      <c r="H31" s="5">
        <v>10.86</v>
      </c>
      <c r="I31" s="102">
        <f>25/30*2</f>
        <v>1.6666666666666667</v>
      </c>
      <c r="J31" s="5"/>
      <c r="K31" s="5">
        <f>H31+I31</f>
        <v>12.526666666666666</v>
      </c>
      <c r="L31" s="6">
        <v>200</v>
      </c>
      <c r="M31" s="61">
        <v>11</v>
      </c>
      <c r="N31" s="5">
        <f t="shared" ref="N31:N42" si="1">(L31-M31)*0.7</f>
        <v>132.29999999999998</v>
      </c>
    </row>
    <row r="32" spans="1:15">
      <c r="A32" s="22" t="s">
        <v>65</v>
      </c>
      <c r="B32" s="22"/>
      <c r="C32" s="4">
        <v>43622</v>
      </c>
      <c r="D32" s="4"/>
      <c r="E32" s="4">
        <v>43650</v>
      </c>
      <c r="F32" s="5"/>
      <c r="G32" s="49"/>
      <c r="H32" s="5">
        <v>10.86</v>
      </c>
      <c r="I32" s="102"/>
      <c r="J32" s="5"/>
      <c r="K32" s="5"/>
      <c r="L32" s="6">
        <v>120</v>
      </c>
      <c r="M32" s="61">
        <v>60</v>
      </c>
      <c r="N32" s="6">
        <f t="shared" si="1"/>
        <v>42</v>
      </c>
    </row>
    <row r="33" spans="1:16">
      <c r="A33" s="22" t="s">
        <v>71</v>
      </c>
      <c r="B33" s="22"/>
      <c r="C33" s="4">
        <v>43635</v>
      </c>
      <c r="D33" s="4"/>
      <c r="E33" s="4">
        <v>43662</v>
      </c>
      <c r="F33" s="5"/>
      <c r="G33" s="49"/>
      <c r="H33" s="5">
        <f>10.86*2</f>
        <v>21.72</v>
      </c>
      <c r="I33" s="102"/>
      <c r="J33" s="5"/>
      <c r="K33" s="5"/>
      <c r="L33" s="6">
        <v>70</v>
      </c>
      <c r="M33" s="61">
        <v>26</v>
      </c>
      <c r="N33" s="6">
        <f t="shared" si="1"/>
        <v>30.799999999999997</v>
      </c>
      <c r="O33" t="s">
        <v>72</v>
      </c>
    </row>
    <row r="34" spans="1:16">
      <c r="A34" s="2" t="s">
        <v>75</v>
      </c>
      <c r="B34" s="2"/>
      <c r="C34" s="4">
        <v>43656</v>
      </c>
      <c r="D34" s="4"/>
      <c r="E34" s="4">
        <v>43711</v>
      </c>
      <c r="F34" s="5"/>
      <c r="G34" s="49"/>
      <c r="H34" s="5">
        <v>10.86</v>
      </c>
      <c r="I34" s="102">
        <f>36/30*48</f>
        <v>57.599999999999994</v>
      </c>
      <c r="J34" s="5"/>
      <c r="K34" s="5"/>
      <c r="L34" s="6">
        <v>145</v>
      </c>
      <c r="M34" s="61">
        <f>36+18</f>
        <v>54</v>
      </c>
      <c r="N34" s="6">
        <f t="shared" si="1"/>
        <v>63.699999999999996</v>
      </c>
    </row>
    <row r="35" spans="1:16">
      <c r="A35" s="2" t="s">
        <v>76</v>
      </c>
      <c r="B35" s="2"/>
      <c r="C35" s="4">
        <v>43677</v>
      </c>
      <c r="D35" s="4"/>
      <c r="E35" s="4">
        <v>43713</v>
      </c>
      <c r="F35" s="5"/>
      <c r="G35" s="49"/>
      <c r="H35" s="5">
        <v>24.06</v>
      </c>
      <c r="I35" s="102">
        <f>80/30*35</f>
        <v>93.333333333333329</v>
      </c>
      <c r="J35" s="5">
        <v>40</v>
      </c>
      <c r="K35" s="5"/>
      <c r="L35" s="6">
        <v>149</v>
      </c>
      <c r="M35" s="61">
        <v>80</v>
      </c>
      <c r="N35" s="6">
        <f t="shared" si="1"/>
        <v>48.3</v>
      </c>
      <c r="O35" t="s">
        <v>79</v>
      </c>
    </row>
    <row r="36" spans="1:16">
      <c r="A36" s="10" t="s">
        <v>81</v>
      </c>
      <c r="B36" s="10"/>
      <c r="C36" s="11">
        <v>45444</v>
      </c>
      <c r="D36" s="11"/>
      <c r="E36" s="11">
        <v>45408</v>
      </c>
      <c r="F36" s="12"/>
      <c r="G36" s="12"/>
      <c r="H36" s="12"/>
      <c r="I36" s="106">
        <f>43/30*34</f>
        <v>48.733333333333334</v>
      </c>
      <c r="J36" s="12"/>
      <c r="K36" s="12"/>
      <c r="L36" s="12">
        <v>129</v>
      </c>
      <c r="M36" s="107">
        <v>61</v>
      </c>
      <c r="N36" s="12">
        <f t="shared" si="1"/>
        <v>47.599999999999994</v>
      </c>
    </row>
    <row r="37" spans="1:16">
      <c r="A37" s="22" t="s">
        <v>87</v>
      </c>
      <c r="B37" s="22"/>
      <c r="C37" s="35">
        <v>43878</v>
      </c>
      <c r="D37" s="35"/>
      <c r="E37" s="35">
        <v>43892</v>
      </c>
      <c r="F37" s="5"/>
      <c r="G37" s="49"/>
      <c r="H37" s="5">
        <v>12.19</v>
      </c>
      <c r="I37" s="102">
        <v>5.5</v>
      </c>
      <c r="J37" s="5"/>
      <c r="K37" s="5"/>
      <c r="L37" s="6">
        <v>25</v>
      </c>
      <c r="M37" s="61">
        <v>11</v>
      </c>
      <c r="N37" s="6">
        <f t="shared" si="1"/>
        <v>9.7999999999999989</v>
      </c>
    </row>
    <row r="38" spans="1:16">
      <c r="A38" s="22" t="s">
        <v>89</v>
      </c>
      <c r="B38" s="22"/>
      <c r="C38" s="35">
        <v>43908</v>
      </c>
      <c r="D38" s="35"/>
      <c r="E38" s="35">
        <v>43893</v>
      </c>
      <c r="F38" s="5"/>
      <c r="G38" s="49"/>
      <c r="H38" s="5">
        <v>9.6</v>
      </c>
      <c r="I38" s="102">
        <v>5.5</v>
      </c>
      <c r="J38" s="5"/>
      <c r="K38" s="5"/>
      <c r="L38" s="6">
        <v>25</v>
      </c>
      <c r="M38" s="61">
        <v>11</v>
      </c>
      <c r="N38" s="6">
        <f t="shared" si="1"/>
        <v>9.7999999999999989</v>
      </c>
    </row>
    <row r="39" spans="1:16">
      <c r="A39" s="22" t="s">
        <v>85</v>
      </c>
      <c r="B39" s="22"/>
      <c r="C39" s="35">
        <v>43881</v>
      </c>
      <c r="D39" s="35"/>
      <c r="E39" s="35">
        <v>43895</v>
      </c>
      <c r="F39" s="5"/>
      <c r="G39" s="49"/>
      <c r="H39" s="5">
        <v>9.14</v>
      </c>
      <c r="I39" s="102">
        <f>11/30*15</f>
        <v>5.5</v>
      </c>
      <c r="J39" s="5"/>
      <c r="K39" s="5"/>
      <c r="L39" s="6">
        <v>25</v>
      </c>
      <c r="M39" s="61">
        <v>11</v>
      </c>
      <c r="N39" s="6">
        <f t="shared" si="1"/>
        <v>9.7999999999999989</v>
      </c>
    </row>
    <row r="40" spans="1:16">
      <c r="A40" s="39" t="s">
        <v>82</v>
      </c>
      <c r="B40" s="28"/>
      <c r="C40" s="36">
        <v>40235</v>
      </c>
      <c r="D40" s="36"/>
      <c r="E40" s="36">
        <v>43901</v>
      </c>
      <c r="F40" s="5"/>
      <c r="G40" s="34"/>
      <c r="H40" s="37">
        <v>9.6</v>
      </c>
      <c r="I40" s="102">
        <f>11/2</f>
        <v>5.5</v>
      </c>
      <c r="J40" s="5"/>
      <c r="K40" s="5"/>
      <c r="L40" s="17">
        <v>25</v>
      </c>
      <c r="M40" s="63">
        <v>11</v>
      </c>
      <c r="N40" s="26">
        <f t="shared" si="1"/>
        <v>9.7999999999999989</v>
      </c>
    </row>
    <row r="41" spans="1:16">
      <c r="A41" s="22" t="s">
        <v>80</v>
      </c>
      <c r="B41" s="22"/>
      <c r="C41" s="35">
        <v>43873</v>
      </c>
      <c r="D41" s="35"/>
      <c r="E41" s="35">
        <v>43910</v>
      </c>
      <c r="F41" s="5"/>
      <c r="G41" s="49"/>
      <c r="H41" s="5">
        <v>21.84</v>
      </c>
      <c r="I41" s="102">
        <f>56/30*38</f>
        <v>70.933333333333337</v>
      </c>
      <c r="J41" s="5"/>
      <c r="K41" s="5"/>
      <c r="L41" s="6">
        <v>80</v>
      </c>
      <c r="M41" s="61">
        <v>47</v>
      </c>
      <c r="N41" s="6">
        <f t="shared" si="1"/>
        <v>23.099999999999998</v>
      </c>
    </row>
    <row r="42" spans="1:16">
      <c r="A42" s="22" t="s">
        <v>88</v>
      </c>
      <c r="B42" s="22"/>
      <c r="C42" s="35">
        <v>43855</v>
      </c>
      <c r="D42" s="35"/>
      <c r="E42" s="35">
        <v>43941</v>
      </c>
      <c r="F42" s="5"/>
      <c r="G42" s="49"/>
      <c r="H42" s="5">
        <v>13.93</v>
      </c>
      <c r="I42" s="102">
        <f>56/30*85</f>
        <v>158.66666666666666</v>
      </c>
      <c r="J42" s="5"/>
      <c r="K42" s="5"/>
      <c r="L42" s="6">
        <v>110</v>
      </c>
      <c r="M42" s="61">
        <v>56</v>
      </c>
      <c r="N42" s="6">
        <f t="shared" si="1"/>
        <v>37.799999999999997</v>
      </c>
    </row>
    <row r="43" spans="1:16">
      <c r="A43" s="22" t="s">
        <v>90</v>
      </c>
      <c r="B43" s="22"/>
      <c r="C43" s="35" t="s">
        <v>96</v>
      </c>
      <c r="D43" s="35"/>
      <c r="E43" s="35">
        <v>44015</v>
      </c>
      <c r="F43" s="5" t="s">
        <v>160</v>
      </c>
      <c r="G43" s="49">
        <v>12.5</v>
      </c>
      <c r="H43" s="5">
        <v>11.29</v>
      </c>
      <c r="I43" s="102">
        <f>100</f>
        <v>100</v>
      </c>
      <c r="J43" s="5"/>
      <c r="K43" s="5"/>
      <c r="L43" s="6">
        <v>105</v>
      </c>
      <c r="M43" s="61">
        <f>25+11+22</f>
        <v>58</v>
      </c>
      <c r="N43" s="6">
        <f>12.5+(92.5-M43)*0.7</f>
        <v>36.65</v>
      </c>
      <c r="P43" s="41"/>
    </row>
    <row r="44" spans="1:16">
      <c r="A44" s="22" t="s">
        <v>97</v>
      </c>
      <c r="B44" s="22"/>
      <c r="C44" s="35">
        <v>43990</v>
      </c>
      <c r="D44" s="35"/>
      <c r="E44" s="35">
        <v>44036</v>
      </c>
      <c r="F44" s="5"/>
      <c r="G44" s="49"/>
      <c r="H44" s="5">
        <v>8.75</v>
      </c>
      <c r="I44" s="102">
        <f>56/30*46</f>
        <v>85.866666666666674</v>
      </c>
      <c r="J44" s="5"/>
      <c r="K44" s="5"/>
      <c r="L44" s="6">
        <v>110</v>
      </c>
      <c r="M44" s="61">
        <f>45+11</f>
        <v>56</v>
      </c>
      <c r="N44" s="6">
        <f>(L44-M44)*0.7</f>
        <v>37.799999999999997</v>
      </c>
    </row>
    <row r="45" spans="1:16">
      <c r="A45" s="22" t="s">
        <v>95</v>
      </c>
      <c r="B45" s="22"/>
      <c r="C45" s="35">
        <v>44028</v>
      </c>
      <c r="D45" s="35"/>
      <c r="E45" s="35">
        <v>44040</v>
      </c>
      <c r="F45" s="5"/>
      <c r="G45" s="49"/>
      <c r="H45" s="5">
        <v>8.75</v>
      </c>
      <c r="I45" s="102">
        <f>41/30*12</f>
        <v>16.399999999999999</v>
      </c>
      <c r="J45" s="5"/>
      <c r="K45" s="5"/>
      <c r="L45" s="6">
        <v>60</v>
      </c>
      <c r="M45" s="61">
        <v>41</v>
      </c>
      <c r="N45" s="6">
        <f>(L45-M45)*0.7</f>
        <v>13.299999999999999</v>
      </c>
    </row>
    <row r="46" spans="1:16">
      <c r="A46" s="2" t="s">
        <v>102</v>
      </c>
      <c r="B46" s="2"/>
      <c r="C46" s="4" t="s">
        <v>103</v>
      </c>
      <c r="D46" s="4"/>
      <c r="E46" s="4">
        <v>44110</v>
      </c>
      <c r="F46" s="5" t="s">
        <v>160</v>
      </c>
      <c r="G46" s="49">
        <v>10</v>
      </c>
      <c r="H46" s="5">
        <v>36.65</v>
      </c>
      <c r="I46" s="102">
        <f>115/30*26</f>
        <v>99.666666666666671</v>
      </c>
      <c r="J46" s="5"/>
      <c r="K46" s="5"/>
      <c r="L46" s="6">
        <v>180</v>
      </c>
      <c r="M46" s="61">
        <v>115</v>
      </c>
      <c r="N46" s="6">
        <f>10+55*0.7</f>
        <v>48.5</v>
      </c>
      <c r="P46" s="41"/>
    </row>
    <row r="47" spans="1:16">
      <c r="A47" s="2" t="s">
        <v>94</v>
      </c>
      <c r="B47" s="2"/>
      <c r="C47" s="35">
        <v>44124</v>
      </c>
      <c r="D47" s="35"/>
      <c r="E47" s="35">
        <v>44124</v>
      </c>
      <c r="F47" s="5"/>
      <c r="G47" s="49"/>
      <c r="H47" s="5">
        <v>7.25</v>
      </c>
      <c r="I47" s="102">
        <v>0</v>
      </c>
      <c r="J47" s="5"/>
      <c r="K47" s="5"/>
      <c r="L47" s="6">
        <v>25</v>
      </c>
      <c r="M47" s="61">
        <v>11</v>
      </c>
      <c r="N47" s="6">
        <f>(L47-M47)*0.7</f>
        <v>9.7999999999999989</v>
      </c>
    </row>
    <row r="48" spans="1:16">
      <c r="A48" s="22" t="s">
        <v>104</v>
      </c>
      <c r="B48" s="22"/>
      <c r="C48" s="4">
        <v>44159</v>
      </c>
      <c r="D48" s="4"/>
      <c r="E48" s="4">
        <v>44187</v>
      </c>
      <c r="F48" s="40"/>
      <c r="G48" s="2"/>
      <c r="H48" s="5">
        <v>13.93</v>
      </c>
      <c r="I48" s="102">
        <f>36/30*28</f>
        <v>33.6</v>
      </c>
      <c r="J48" s="5"/>
      <c r="K48" s="5"/>
      <c r="L48" s="6">
        <v>110</v>
      </c>
      <c r="M48" s="61">
        <f>25+11</f>
        <v>36</v>
      </c>
      <c r="N48" s="6">
        <f>(L48-M48)*0.7</f>
        <v>51.8</v>
      </c>
    </row>
    <row r="49" spans="1:16">
      <c r="A49" s="22" t="s">
        <v>108</v>
      </c>
      <c r="B49" s="22"/>
      <c r="C49" s="4">
        <v>44185</v>
      </c>
      <c r="D49" s="4"/>
      <c r="E49" s="4">
        <v>44242</v>
      </c>
      <c r="F49" s="5" t="s">
        <v>160</v>
      </c>
      <c r="G49" s="49">
        <v>20</v>
      </c>
      <c r="H49" s="5">
        <v>26.48</v>
      </c>
      <c r="I49" s="102">
        <f>50/30*55</f>
        <v>91.666666666666671</v>
      </c>
      <c r="J49" s="5">
        <v>160</v>
      </c>
      <c r="K49" s="5"/>
      <c r="L49" s="6">
        <v>130</v>
      </c>
      <c r="M49" s="61">
        <v>34</v>
      </c>
      <c r="N49" s="5">
        <f>(20+(110-34)*0.7)</f>
        <v>73.199999999999989</v>
      </c>
      <c r="O49" s="1" t="s">
        <v>145</v>
      </c>
    </row>
    <row r="50" spans="1:16">
      <c r="A50" s="22" t="s">
        <v>109</v>
      </c>
      <c r="B50" s="22"/>
      <c r="C50" s="4">
        <v>44209</v>
      </c>
      <c r="D50" s="4"/>
      <c r="E50" s="4">
        <v>44250</v>
      </c>
      <c r="F50" s="5" t="s">
        <v>160</v>
      </c>
      <c r="G50" s="49">
        <v>22.5</v>
      </c>
      <c r="H50" s="5">
        <v>22.83</v>
      </c>
      <c r="I50" s="102">
        <f>100/30*40</f>
        <v>133.33333333333334</v>
      </c>
      <c r="J50" s="5">
        <v>125</v>
      </c>
      <c r="K50" s="5"/>
      <c r="L50" s="6">
        <v>210</v>
      </c>
      <c r="M50" s="61">
        <v>100</v>
      </c>
      <c r="N50" s="6">
        <f>(22.5+87.5*0.7)</f>
        <v>83.75</v>
      </c>
    </row>
    <row r="51" spans="1:16">
      <c r="A51" s="2" t="s">
        <v>113</v>
      </c>
      <c r="B51" s="2"/>
      <c r="C51" s="4">
        <v>44245</v>
      </c>
      <c r="D51" s="4"/>
      <c r="E51" s="4">
        <v>44271</v>
      </c>
      <c r="F51" s="5" t="s">
        <v>160</v>
      </c>
      <c r="G51" s="49">
        <v>15</v>
      </c>
      <c r="H51" s="5">
        <v>26.76</v>
      </c>
      <c r="I51" s="102">
        <f>67/30*28</f>
        <v>62.533333333333331</v>
      </c>
      <c r="J51" s="5"/>
      <c r="K51" s="5"/>
      <c r="L51" s="6">
        <v>140</v>
      </c>
      <c r="M51" s="61">
        <v>67</v>
      </c>
      <c r="N51" s="6">
        <f>(15+0.7*58)</f>
        <v>55.599999999999994</v>
      </c>
    </row>
    <row r="52" spans="1:16">
      <c r="A52" s="2" t="s">
        <v>112</v>
      </c>
      <c r="B52" s="2"/>
      <c r="C52" s="4">
        <v>44270</v>
      </c>
      <c r="D52" s="4"/>
      <c r="E52" s="4">
        <v>44286</v>
      </c>
      <c r="F52" s="5" t="s">
        <v>160</v>
      </c>
      <c r="G52" s="49">
        <v>17.5</v>
      </c>
      <c r="H52" s="5">
        <v>31.96</v>
      </c>
      <c r="I52" s="102">
        <f>55/30*16</f>
        <v>29.333333333333332</v>
      </c>
      <c r="J52" s="5">
        <v>75</v>
      </c>
      <c r="K52" s="5"/>
      <c r="L52" s="6">
        <v>100</v>
      </c>
      <c r="M52" s="61">
        <v>55</v>
      </c>
      <c r="N52" s="6">
        <f>(17.5+27.5*0.7)</f>
        <v>36.75</v>
      </c>
    </row>
    <row r="53" spans="1:16">
      <c r="A53" s="22" t="s">
        <v>121</v>
      </c>
      <c r="B53" s="22"/>
      <c r="C53" s="4">
        <v>44316</v>
      </c>
      <c r="D53" s="4"/>
      <c r="E53" s="4">
        <v>44354</v>
      </c>
      <c r="F53" s="40"/>
      <c r="G53" s="2"/>
      <c r="H53" s="5">
        <v>15.15</v>
      </c>
      <c r="I53" s="102">
        <f>36/30*37</f>
        <v>44.4</v>
      </c>
      <c r="J53" s="5"/>
      <c r="K53" s="5"/>
      <c r="L53" s="6">
        <v>110</v>
      </c>
      <c r="M53" s="61">
        <v>36</v>
      </c>
      <c r="N53" s="5">
        <f>(L53-M53)*0.7</f>
        <v>51.8</v>
      </c>
      <c r="O53" s="1" t="s">
        <v>145</v>
      </c>
    </row>
    <row r="54" spans="1:16">
      <c r="A54" s="22" t="s">
        <v>126</v>
      </c>
      <c r="B54" s="22"/>
      <c r="C54" s="4">
        <v>44336</v>
      </c>
      <c r="D54" s="4"/>
      <c r="E54" s="4">
        <v>44370</v>
      </c>
      <c r="F54" s="5" t="s">
        <v>161</v>
      </c>
      <c r="G54" s="49">
        <v>17.5</v>
      </c>
      <c r="H54" s="5">
        <v>35.78</v>
      </c>
      <c r="I54" s="102">
        <f>58/30*33</f>
        <v>63.8</v>
      </c>
      <c r="J54" s="5">
        <v>50</v>
      </c>
      <c r="K54" s="5"/>
      <c r="L54" s="6">
        <v>150</v>
      </c>
      <c r="M54" s="61">
        <v>58</v>
      </c>
      <c r="N54" s="6">
        <f>(17.5+74.5*0.7)</f>
        <v>69.650000000000006</v>
      </c>
    </row>
    <row r="55" spans="1:16">
      <c r="A55" s="44" t="s">
        <v>125</v>
      </c>
      <c r="B55" s="44"/>
      <c r="C55" s="4">
        <v>44342</v>
      </c>
      <c r="D55" s="4"/>
      <c r="E55" s="4">
        <v>44386</v>
      </c>
      <c r="F55" s="5" t="s">
        <v>160</v>
      </c>
      <c r="G55" s="49">
        <v>12.5</v>
      </c>
      <c r="H55" s="5">
        <v>15.46</v>
      </c>
      <c r="I55" s="102">
        <f>36/30*43</f>
        <v>51.6</v>
      </c>
      <c r="J55" s="5">
        <f>50+45</f>
        <v>95</v>
      </c>
      <c r="K55" s="5"/>
      <c r="L55" s="6">
        <v>80</v>
      </c>
      <c r="M55" s="61">
        <v>33</v>
      </c>
      <c r="N55" s="6">
        <f>12.5+(L55-M55-12.5)*0.7</f>
        <v>36.65</v>
      </c>
    </row>
    <row r="56" spans="1:16">
      <c r="A56" s="44" t="s">
        <v>132</v>
      </c>
      <c r="B56" s="44"/>
      <c r="C56" s="4">
        <v>44407</v>
      </c>
      <c r="D56" s="4"/>
      <c r="E56" s="4">
        <v>44461</v>
      </c>
      <c r="F56" s="40"/>
      <c r="G56" s="2"/>
      <c r="H56" s="5">
        <v>9.8800000000000008</v>
      </c>
      <c r="I56" s="102">
        <f>25/30*52</f>
        <v>43.333333333333336</v>
      </c>
      <c r="J56" s="5"/>
      <c r="K56" s="5"/>
      <c r="L56" s="6">
        <v>40</v>
      </c>
      <c r="M56" s="61">
        <v>25</v>
      </c>
      <c r="N56" s="6">
        <f>(L56-M56)*0.7</f>
        <v>10.5</v>
      </c>
    </row>
    <row r="57" spans="1:16">
      <c r="A57" s="52" t="s">
        <v>141</v>
      </c>
      <c r="B57" s="52"/>
      <c r="C57" s="57">
        <v>44459</v>
      </c>
      <c r="D57" s="57"/>
      <c r="E57" s="57">
        <v>44481</v>
      </c>
      <c r="F57" s="10" t="s">
        <v>161</v>
      </c>
      <c r="G57" s="12">
        <v>10</v>
      </c>
      <c r="H57" s="25">
        <v>15.15</v>
      </c>
      <c r="I57" s="103">
        <f>46/30*22</f>
        <v>33.733333333333334</v>
      </c>
      <c r="J57" s="25">
        <v>80</v>
      </c>
      <c r="K57" s="25"/>
      <c r="L57" s="27">
        <v>120</v>
      </c>
      <c r="M57" s="64">
        <v>46</v>
      </c>
      <c r="N57" s="27">
        <f>10+(120-56)*0.7</f>
        <v>54.8</v>
      </c>
    </row>
    <row r="58" spans="1:16">
      <c r="A58" s="52" t="s">
        <v>140</v>
      </c>
      <c r="B58" s="52"/>
      <c r="C58" s="57">
        <v>44449</v>
      </c>
      <c r="D58" s="57"/>
      <c r="E58" s="57">
        <v>44482</v>
      </c>
      <c r="F58" s="25" t="s">
        <v>160</v>
      </c>
      <c r="G58" s="58">
        <v>10</v>
      </c>
      <c r="H58" s="25">
        <v>13.4</v>
      </c>
      <c r="I58" s="103">
        <f>60/30*33</f>
        <v>66</v>
      </c>
      <c r="J58" s="25">
        <v>80</v>
      </c>
      <c r="K58" s="25"/>
      <c r="L58" s="27">
        <v>120</v>
      </c>
      <c r="M58" s="64">
        <v>61</v>
      </c>
      <c r="N58" s="27">
        <f>(10+49*0.7)</f>
        <v>44.3</v>
      </c>
    </row>
    <row r="59" spans="1:16">
      <c r="A59" s="44" t="s">
        <v>137</v>
      </c>
      <c r="B59" s="44"/>
      <c r="C59" s="35">
        <v>44474</v>
      </c>
      <c r="D59" s="35"/>
      <c r="E59" s="35">
        <v>44487</v>
      </c>
      <c r="F59" s="10" t="s">
        <v>161</v>
      </c>
      <c r="G59" s="12">
        <v>12.5</v>
      </c>
      <c r="H59" s="5">
        <v>15.15</v>
      </c>
      <c r="I59" s="102">
        <f>71/30*13</f>
        <v>30.766666666666666</v>
      </c>
      <c r="J59" s="5">
        <v>95</v>
      </c>
      <c r="K59" s="5"/>
      <c r="L59" s="6">
        <v>140</v>
      </c>
      <c r="M59" s="61">
        <v>71</v>
      </c>
      <c r="N59" s="6">
        <f>12.5+(56.5)*0.7</f>
        <v>52.05</v>
      </c>
    </row>
    <row r="60" spans="1:16">
      <c r="A60" s="44" t="s">
        <v>139</v>
      </c>
      <c r="B60" s="44"/>
      <c r="C60" s="35">
        <v>44492</v>
      </c>
      <c r="D60" s="35"/>
      <c r="E60" s="35">
        <v>44539</v>
      </c>
      <c r="F60" s="40"/>
      <c r="G60" s="49"/>
      <c r="H60" s="5">
        <v>16.350000000000001</v>
      </c>
      <c r="I60" s="102">
        <f>71/30*46</f>
        <v>108.86666666666667</v>
      </c>
      <c r="J60" s="5">
        <v>95</v>
      </c>
      <c r="K60" s="5"/>
      <c r="L60" s="6">
        <v>140</v>
      </c>
      <c r="M60" s="61">
        <v>71</v>
      </c>
      <c r="N60" s="12">
        <f>(140-71)*0.7</f>
        <v>48.3</v>
      </c>
      <c r="O60" s="72" t="s">
        <v>329</v>
      </c>
      <c r="P60" s="72">
        <v>33.81</v>
      </c>
    </row>
    <row r="61" spans="1:16">
      <c r="A61" s="44" t="s">
        <v>144</v>
      </c>
      <c r="B61" s="44"/>
      <c r="C61" s="35">
        <v>44526</v>
      </c>
      <c r="D61" s="35"/>
      <c r="E61" s="35">
        <v>44550</v>
      </c>
      <c r="F61" s="5" t="s">
        <v>160</v>
      </c>
      <c r="G61" s="49">
        <v>12.5</v>
      </c>
      <c r="H61" s="5">
        <v>13.4</v>
      </c>
      <c r="I61" s="102">
        <f>83/30*24</f>
        <v>66.400000000000006</v>
      </c>
      <c r="J61" s="5"/>
      <c r="K61" s="5"/>
      <c r="L61" s="6">
        <v>140</v>
      </c>
      <c r="M61" s="61">
        <v>94</v>
      </c>
      <c r="N61" s="6">
        <f>12.5+(140-12.5-94)*0.7</f>
        <v>35.950000000000003</v>
      </c>
    </row>
    <row r="62" spans="1:16">
      <c r="A62" s="44" t="s">
        <v>149</v>
      </c>
      <c r="B62" s="44"/>
      <c r="C62" s="35">
        <v>44880</v>
      </c>
      <c r="D62" s="35"/>
      <c r="E62" s="35">
        <v>44575</v>
      </c>
      <c r="F62" s="40"/>
      <c r="G62" s="49"/>
      <c r="H62" s="5">
        <v>13.4</v>
      </c>
      <c r="I62" s="102"/>
      <c r="J62" s="5">
        <v>50</v>
      </c>
      <c r="K62" s="5"/>
      <c r="L62" s="6">
        <v>160</v>
      </c>
      <c r="M62" s="61">
        <f>71+9</f>
        <v>80</v>
      </c>
      <c r="N62" s="6">
        <f>(160-80)*0.7</f>
        <v>56</v>
      </c>
    </row>
    <row r="63" spans="1:16">
      <c r="A63" s="44" t="s">
        <v>146</v>
      </c>
      <c r="B63" s="44"/>
      <c r="C63" s="4">
        <v>44586</v>
      </c>
      <c r="D63" s="4"/>
      <c r="E63" s="4">
        <v>44615</v>
      </c>
      <c r="F63" s="10" t="s">
        <v>161</v>
      </c>
      <c r="G63" s="12">
        <v>12.5</v>
      </c>
      <c r="H63" s="5">
        <v>15.46</v>
      </c>
      <c r="I63" s="102">
        <f>27/30*28</f>
        <v>25.2</v>
      </c>
      <c r="J63" s="5">
        <v>110</v>
      </c>
      <c r="K63" s="5"/>
      <c r="L63" s="6">
        <v>154</v>
      </c>
      <c r="M63" s="61">
        <v>72</v>
      </c>
      <c r="N63" s="6">
        <f>12.5+(154-12.5-62)*0.7</f>
        <v>68.150000000000006</v>
      </c>
    </row>
    <row r="64" spans="1:16">
      <c r="A64" s="44" t="s">
        <v>153</v>
      </c>
      <c r="B64" s="44"/>
      <c r="C64" s="4">
        <v>44623</v>
      </c>
      <c r="D64" s="4"/>
      <c r="E64" s="4">
        <v>44623</v>
      </c>
      <c r="F64" s="40"/>
      <c r="G64" s="40"/>
      <c r="H64" s="5">
        <v>11.03</v>
      </c>
      <c r="I64" s="102">
        <v>0</v>
      </c>
      <c r="J64" s="5">
        <v>15</v>
      </c>
      <c r="K64" s="5"/>
      <c r="L64" s="6">
        <v>30</v>
      </c>
      <c r="M64" s="61">
        <v>12</v>
      </c>
      <c r="N64" s="6">
        <f>(L64-M64)*0.7</f>
        <v>12.6</v>
      </c>
    </row>
    <row r="65" spans="1:14">
      <c r="A65" s="44" t="s">
        <v>157</v>
      </c>
      <c r="B65" s="44"/>
      <c r="C65" s="4">
        <v>44627</v>
      </c>
      <c r="D65" s="4"/>
      <c r="E65" s="4">
        <v>44627</v>
      </c>
      <c r="F65" s="10" t="s">
        <v>161</v>
      </c>
      <c r="G65" s="12">
        <v>10</v>
      </c>
      <c r="H65" s="5">
        <v>15.46</v>
      </c>
      <c r="I65" s="102">
        <v>0</v>
      </c>
      <c r="J65" s="5">
        <v>0</v>
      </c>
      <c r="K65" s="5"/>
      <c r="L65" s="6">
        <v>100</v>
      </c>
      <c r="M65" s="61">
        <v>44</v>
      </c>
      <c r="N65" s="6">
        <f>10+(46)*0.7</f>
        <v>42.199999999999996</v>
      </c>
    </row>
    <row r="66" spans="1:14">
      <c r="A66" s="44" t="s">
        <v>171</v>
      </c>
      <c r="B66" s="44"/>
      <c r="C66" s="4">
        <v>44648</v>
      </c>
      <c r="D66" s="4"/>
      <c r="E66" s="4">
        <v>44734</v>
      </c>
      <c r="F66" s="40"/>
      <c r="G66" s="5"/>
      <c r="H66" s="5">
        <v>13.72</v>
      </c>
      <c r="I66" s="102">
        <f>56/30*84</f>
        <v>156.80000000000001</v>
      </c>
      <c r="J66" s="5">
        <v>95</v>
      </c>
      <c r="K66" s="5"/>
      <c r="L66" s="6">
        <v>140</v>
      </c>
      <c r="M66" s="61">
        <v>56</v>
      </c>
      <c r="N66" s="6">
        <f>(140-56)*0.7</f>
        <v>58.8</v>
      </c>
    </row>
    <row r="67" spans="1:14">
      <c r="A67" s="44" t="s">
        <v>172</v>
      </c>
      <c r="B67" s="44"/>
      <c r="C67" s="4">
        <v>44705</v>
      </c>
      <c r="D67" s="4"/>
      <c r="E67" s="4">
        <v>44715</v>
      </c>
      <c r="F67" s="40"/>
      <c r="G67" s="5"/>
      <c r="H67" s="5">
        <v>10.039999999999999</v>
      </c>
      <c r="I67" s="102">
        <f>25/30*9</f>
        <v>7.5</v>
      </c>
      <c r="J67" s="5"/>
      <c r="K67" s="5"/>
      <c r="L67" s="6">
        <v>50</v>
      </c>
      <c r="M67" s="61">
        <v>25</v>
      </c>
      <c r="N67" s="6">
        <f>(50-25)*0.7</f>
        <v>17.5</v>
      </c>
    </row>
    <row r="68" spans="1:14">
      <c r="A68" s="44" t="s">
        <v>173</v>
      </c>
      <c r="B68" s="44"/>
      <c r="C68" s="4">
        <v>44704</v>
      </c>
      <c r="D68" s="4"/>
      <c r="E68" s="4">
        <v>44721</v>
      </c>
      <c r="F68" s="10" t="s">
        <v>161</v>
      </c>
      <c r="G68" s="56">
        <v>12.5</v>
      </c>
      <c r="H68" s="5">
        <v>13.72</v>
      </c>
      <c r="I68" s="102">
        <f>37/30*16</f>
        <v>19.733333333333334</v>
      </c>
      <c r="J68" s="5">
        <f>50+45</f>
        <v>95</v>
      </c>
      <c r="K68" s="5"/>
      <c r="L68" s="6">
        <v>129</v>
      </c>
      <c r="M68" s="61">
        <v>54.5</v>
      </c>
      <c r="N68" s="56">
        <f>12.5+(116.5-54.5)*0.7</f>
        <v>55.9</v>
      </c>
    </row>
    <row r="69" spans="1:14">
      <c r="A69" s="44" t="s">
        <v>174</v>
      </c>
      <c r="B69" s="44"/>
      <c r="C69" s="4">
        <v>44715</v>
      </c>
      <c r="D69" s="4"/>
      <c r="E69" s="4">
        <v>44820</v>
      </c>
      <c r="F69" s="10" t="s">
        <v>161</v>
      </c>
      <c r="G69" s="56">
        <v>15</v>
      </c>
      <c r="H69" s="5">
        <v>14.6</v>
      </c>
      <c r="I69" s="102">
        <f>56/30*103</f>
        <v>192.26666666666668</v>
      </c>
      <c r="J69" s="5">
        <v>50</v>
      </c>
      <c r="K69" s="5"/>
      <c r="L69" s="6">
        <f>130</f>
        <v>130</v>
      </c>
      <c r="M69" s="61">
        <v>56</v>
      </c>
      <c r="N69" s="56">
        <f>15+(115-56)*0.7</f>
        <v>56.3</v>
      </c>
    </row>
    <row r="70" spans="1:14">
      <c r="A70" s="44" t="s">
        <v>183</v>
      </c>
      <c r="B70" s="44"/>
      <c r="C70" s="4">
        <v>44749</v>
      </c>
      <c r="D70" s="4">
        <v>44830</v>
      </c>
      <c r="E70" s="4">
        <v>44858</v>
      </c>
      <c r="F70" s="40"/>
      <c r="G70" s="5"/>
      <c r="H70" s="5">
        <v>11.03</v>
      </c>
      <c r="I70" s="102">
        <v>25</v>
      </c>
      <c r="J70" s="5">
        <v>15</v>
      </c>
      <c r="K70" s="5"/>
      <c r="L70" s="6">
        <v>80</v>
      </c>
      <c r="M70" s="61">
        <v>25</v>
      </c>
      <c r="N70" s="6">
        <f>55*0.7</f>
        <v>38.5</v>
      </c>
    </row>
    <row r="71" spans="1:14">
      <c r="A71" s="44" t="s">
        <v>185</v>
      </c>
      <c r="B71" s="44"/>
      <c r="C71" s="4">
        <v>44830</v>
      </c>
      <c r="D71" s="4">
        <v>44852</v>
      </c>
      <c r="E71" s="4">
        <v>44858</v>
      </c>
      <c r="F71" s="10" t="s">
        <v>161</v>
      </c>
      <c r="G71" s="12">
        <v>15</v>
      </c>
      <c r="H71" s="5">
        <v>23.38</v>
      </c>
      <c r="I71" s="102">
        <f>54.5/30*6</f>
        <v>10.9</v>
      </c>
      <c r="J71" s="5">
        <v>95</v>
      </c>
      <c r="K71" s="5"/>
      <c r="L71" s="6">
        <v>160</v>
      </c>
      <c r="M71" s="61">
        <v>64.5</v>
      </c>
      <c r="N71" s="6">
        <f>15+(145-64.5)*0.7</f>
        <v>71.349999999999994</v>
      </c>
    </row>
    <row r="72" spans="1:14">
      <c r="A72" s="44" t="s">
        <v>190</v>
      </c>
      <c r="B72" s="44"/>
      <c r="C72" s="4"/>
      <c r="D72" s="4">
        <v>44879</v>
      </c>
      <c r="E72" s="35">
        <v>44887</v>
      </c>
      <c r="F72" s="44" t="s">
        <v>161</v>
      </c>
      <c r="G72" s="56">
        <v>10</v>
      </c>
      <c r="H72" s="5">
        <v>14.6</v>
      </c>
      <c r="I72" s="102">
        <f>34/30*8</f>
        <v>9.0666666666666664</v>
      </c>
      <c r="J72" s="5">
        <v>45</v>
      </c>
      <c r="K72" s="5"/>
      <c r="L72" s="6">
        <v>75</v>
      </c>
      <c r="M72" s="61">
        <v>34</v>
      </c>
      <c r="N72" s="56">
        <f>10+(80-34)*0.7</f>
        <v>42.199999999999996</v>
      </c>
    </row>
    <row r="73" spans="1:14">
      <c r="A73" s="44" t="s">
        <v>213</v>
      </c>
      <c r="B73" s="44"/>
      <c r="C73" s="4">
        <v>44894</v>
      </c>
      <c r="D73" s="4">
        <v>44908</v>
      </c>
      <c r="E73" s="35">
        <v>44944</v>
      </c>
      <c r="F73" s="40" t="s">
        <v>161</v>
      </c>
      <c r="G73" s="5">
        <v>15</v>
      </c>
      <c r="H73" s="5">
        <v>31.72</v>
      </c>
      <c r="I73" s="102">
        <f>50/30*35</f>
        <v>58.333333333333336</v>
      </c>
      <c r="J73" s="5">
        <f>60+50</f>
        <v>110</v>
      </c>
      <c r="K73" s="5"/>
      <c r="L73" s="6">
        <v>119</v>
      </c>
      <c r="M73" s="61">
        <v>54</v>
      </c>
      <c r="N73" s="94">
        <f>15+(L73-M73-15)*0.7</f>
        <v>50</v>
      </c>
    </row>
    <row r="74" spans="1:14">
      <c r="A74" s="44" t="s">
        <v>227</v>
      </c>
      <c r="B74" s="44"/>
      <c r="C74" s="4">
        <v>44949</v>
      </c>
      <c r="D74" s="4">
        <v>44953</v>
      </c>
      <c r="E74" s="35">
        <v>44966</v>
      </c>
      <c r="F74" s="40" t="s">
        <v>160</v>
      </c>
      <c r="G74" s="5">
        <v>15</v>
      </c>
      <c r="H74" s="5">
        <v>16.38</v>
      </c>
      <c r="I74" s="102">
        <f>61.5/30*12</f>
        <v>24.599999999999998</v>
      </c>
      <c r="J74" s="5">
        <f>50+60</f>
        <v>110</v>
      </c>
      <c r="K74" s="5"/>
      <c r="L74" s="6">
        <v>160</v>
      </c>
      <c r="M74" s="65">
        <f>32.5+7+22</f>
        <v>61.5</v>
      </c>
      <c r="N74" s="59">
        <f>15+(L74-M74-15)*0.7</f>
        <v>73.449999999999989</v>
      </c>
    </row>
    <row r="75" spans="1:14">
      <c r="A75" s="44" t="s">
        <v>228</v>
      </c>
      <c r="B75" s="44"/>
      <c r="C75" s="4">
        <v>44957</v>
      </c>
      <c r="D75" s="4">
        <v>44957</v>
      </c>
      <c r="E75" s="35">
        <v>44977</v>
      </c>
      <c r="F75" s="40"/>
      <c r="G75" s="5"/>
      <c r="H75" s="5">
        <v>20.61</v>
      </c>
      <c r="I75" s="102">
        <f>66/30*20</f>
        <v>44</v>
      </c>
      <c r="J75" s="5">
        <v>90</v>
      </c>
      <c r="K75" s="5"/>
      <c r="L75" s="6">
        <v>155</v>
      </c>
      <c r="M75" s="65">
        <v>54</v>
      </c>
      <c r="N75" s="59">
        <f>(L75-M75)*0.7</f>
        <v>70.699999999999989</v>
      </c>
    </row>
    <row r="76" spans="1:14">
      <c r="A76" s="44" t="s">
        <v>255</v>
      </c>
      <c r="B76" s="44"/>
      <c r="C76" s="35">
        <v>44691</v>
      </c>
      <c r="D76" s="35">
        <v>44994</v>
      </c>
      <c r="E76" s="4">
        <v>44994</v>
      </c>
      <c r="F76" s="40"/>
      <c r="G76" s="40"/>
      <c r="H76" s="5">
        <v>11.03</v>
      </c>
      <c r="I76" s="102">
        <f>25*14</f>
        <v>350</v>
      </c>
      <c r="J76" s="40">
        <f>30+50</f>
        <v>80</v>
      </c>
      <c r="K76" s="40"/>
      <c r="L76" s="6">
        <v>109</v>
      </c>
      <c r="M76" s="6">
        <f>38+7</f>
        <v>45</v>
      </c>
      <c r="N76" s="59">
        <f>(L76-M76)*0.7</f>
        <v>44.8</v>
      </c>
    </row>
    <row r="77" spans="1:14">
      <c r="A77" s="44" t="s">
        <v>187</v>
      </c>
      <c r="B77" s="44"/>
      <c r="C77" s="35"/>
      <c r="D77" s="35">
        <v>44991</v>
      </c>
      <c r="E77" s="4">
        <v>44991</v>
      </c>
      <c r="F77" s="40"/>
      <c r="G77" s="40"/>
      <c r="H77" s="5">
        <v>13.31</v>
      </c>
      <c r="I77" s="102"/>
      <c r="J77" s="40">
        <v>45</v>
      </c>
      <c r="K77" s="40"/>
      <c r="L77" s="6">
        <v>80</v>
      </c>
      <c r="M77" s="6">
        <v>27</v>
      </c>
      <c r="N77" s="59">
        <f>(L77-M77)*0.7</f>
        <v>37.099999999999994</v>
      </c>
    </row>
    <row r="78" spans="1:14">
      <c r="A78" s="76" t="s">
        <v>276</v>
      </c>
      <c r="B78" s="44"/>
      <c r="C78" s="35">
        <v>45061</v>
      </c>
      <c r="D78" s="35">
        <v>45070</v>
      </c>
      <c r="E78" s="4"/>
      <c r="F78" s="40"/>
      <c r="G78" s="40"/>
      <c r="H78" s="5">
        <v>11.48</v>
      </c>
      <c r="I78" s="102">
        <f>21/30*9</f>
        <v>6.3</v>
      </c>
      <c r="J78" s="40"/>
      <c r="K78" s="40"/>
      <c r="L78" s="17">
        <f>50</f>
        <v>50</v>
      </c>
      <c r="M78" s="18">
        <v>21</v>
      </c>
      <c r="N78" s="70">
        <f>(50-21)*0.7</f>
        <v>20.299999999999997</v>
      </c>
    </row>
    <row r="79" spans="1:14">
      <c r="A79" s="76" t="s">
        <v>279</v>
      </c>
      <c r="B79" s="44"/>
      <c r="C79" s="35">
        <v>45065</v>
      </c>
      <c r="D79" s="35">
        <v>45070</v>
      </c>
      <c r="E79" s="4"/>
      <c r="F79" s="40"/>
      <c r="G79" s="40"/>
      <c r="H79" s="5">
        <v>11.48</v>
      </c>
      <c r="I79" s="102">
        <f>21/30*5</f>
        <v>3.5</v>
      </c>
      <c r="J79" s="40"/>
      <c r="K79" s="40"/>
      <c r="L79" s="17">
        <f>50</f>
        <v>50</v>
      </c>
      <c r="M79" s="18">
        <v>21</v>
      </c>
      <c r="N79" s="70">
        <f>(50-21)*0.7</f>
        <v>20.299999999999997</v>
      </c>
    </row>
    <row r="80" spans="1:14">
      <c r="A80" s="76" t="s">
        <v>278</v>
      </c>
      <c r="B80" s="52"/>
      <c r="C80" s="57">
        <v>44973</v>
      </c>
      <c r="D80" s="57">
        <v>45070</v>
      </c>
      <c r="E80" s="24"/>
      <c r="F80" s="48"/>
      <c r="G80" s="48"/>
      <c r="H80" s="25">
        <v>11.48</v>
      </c>
      <c r="I80" s="103">
        <f>21/30*98</f>
        <v>68.599999999999994</v>
      </c>
      <c r="J80" s="48"/>
      <c r="K80" s="48"/>
      <c r="L80" s="17">
        <v>50</v>
      </c>
      <c r="M80" s="26">
        <v>21</v>
      </c>
      <c r="N80" s="85">
        <f>(50-21)*0.7</f>
        <v>20.299999999999997</v>
      </c>
    </row>
    <row r="81" spans="1:16">
      <c r="A81" s="44" t="s">
        <v>289</v>
      </c>
      <c r="B81" s="44"/>
      <c r="C81" s="35">
        <v>45110</v>
      </c>
      <c r="D81" s="35">
        <v>45127</v>
      </c>
      <c r="E81" s="4">
        <v>45110</v>
      </c>
      <c r="F81" s="40"/>
      <c r="G81" s="40"/>
      <c r="H81" s="5">
        <v>13.31</v>
      </c>
      <c r="I81" s="102">
        <f>27/30*17</f>
        <v>15.3</v>
      </c>
      <c r="J81" s="40">
        <v>45</v>
      </c>
      <c r="K81" s="40"/>
      <c r="L81" s="6">
        <v>75</v>
      </c>
      <c r="M81" s="6">
        <v>27</v>
      </c>
      <c r="N81" s="59">
        <f>(L81-M81)*0.7</f>
        <v>33.599999999999994</v>
      </c>
    </row>
    <row r="82" spans="1:16">
      <c r="A82" s="44" t="s">
        <v>292</v>
      </c>
      <c r="B82" s="44"/>
      <c r="C82" s="35">
        <v>45138</v>
      </c>
      <c r="D82" s="35">
        <v>45139</v>
      </c>
      <c r="E82" s="35">
        <v>45162</v>
      </c>
      <c r="F82" s="40"/>
      <c r="G82" s="40"/>
      <c r="H82" s="5">
        <v>12.48</v>
      </c>
      <c r="I82" s="102">
        <f>27/30*23</f>
        <v>20.7</v>
      </c>
      <c r="J82" s="40">
        <v>45</v>
      </c>
      <c r="K82" s="40"/>
      <c r="L82" s="6">
        <v>90</v>
      </c>
      <c r="M82" s="6">
        <v>27</v>
      </c>
      <c r="N82" s="59">
        <f>(L82-M82)*0.7</f>
        <v>44.099999999999994</v>
      </c>
    </row>
    <row r="83" spans="1:16">
      <c r="A83" s="44" t="s">
        <v>293</v>
      </c>
      <c r="B83" s="44"/>
      <c r="C83" s="35">
        <v>45086</v>
      </c>
      <c r="D83" s="35">
        <v>45089</v>
      </c>
      <c r="E83" s="4">
        <v>45103</v>
      </c>
      <c r="F83" s="40"/>
      <c r="G83" s="40"/>
      <c r="H83" s="5">
        <v>11.03</v>
      </c>
      <c r="I83" s="102">
        <f>21/30*14</f>
        <v>9.7999999999999989</v>
      </c>
      <c r="J83" s="40"/>
      <c r="K83" s="40"/>
      <c r="L83" s="6">
        <v>50</v>
      </c>
      <c r="M83" s="6">
        <v>21</v>
      </c>
      <c r="N83" s="59">
        <f>(L83-M83)*0.7</f>
        <v>20.299999999999997</v>
      </c>
    </row>
    <row r="84" spans="1:16">
      <c r="A84" s="44" t="s">
        <v>295</v>
      </c>
      <c r="B84" s="44"/>
      <c r="C84" s="35">
        <v>45228</v>
      </c>
      <c r="D84" s="35">
        <v>45203</v>
      </c>
      <c r="E84" s="4"/>
      <c r="F84" s="40"/>
      <c r="G84" s="40"/>
      <c r="H84" s="5">
        <v>13.31</v>
      </c>
      <c r="I84" s="102">
        <f>27/30*5</f>
        <v>4.5</v>
      </c>
      <c r="J84" s="40">
        <v>45</v>
      </c>
      <c r="K84" s="40"/>
      <c r="L84" s="6">
        <v>80</v>
      </c>
      <c r="M84" s="6">
        <v>27</v>
      </c>
      <c r="N84" s="59">
        <f>(L84-M84)*0.7</f>
        <v>37.099999999999994</v>
      </c>
    </row>
    <row r="85" spans="1:16">
      <c r="A85" s="44" t="s">
        <v>320</v>
      </c>
      <c r="B85" s="44"/>
      <c r="C85" s="35">
        <v>45177</v>
      </c>
      <c r="D85" s="35">
        <v>45196</v>
      </c>
      <c r="E85" s="4"/>
      <c r="F85" s="40"/>
      <c r="G85" s="40"/>
      <c r="H85" s="5">
        <v>10.44</v>
      </c>
      <c r="I85" s="102">
        <f>38/30*21</f>
        <v>26.599999999999998</v>
      </c>
      <c r="J85" s="40"/>
      <c r="K85" s="40"/>
      <c r="L85" s="6">
        <v>69</v>
      </c>
      <c r="M85" s="6">
        <v>38</v>
      </c>
      <c r="N85" s="59">
        <f>(69-38)*0.7</f>
        <v>21.7</v>
      </c>
    </row>
    <row r="86" spans="1:16">
      <c r="A86" s="44" t="s">
        <v>325</v>
      </c>
      <c r="B86" s="44"/>
      <c r="C86" s="35"/>
      <c r="D86" s="35">
        <v>45223</v>
      </c>
      <c r="E86" s="4">
        <v>45239</v>
      </c>
      <c r="F86" s="40"/>
      <c r="G86" s="40"/>
      <c r="H86" s="5">
        <v>40</v>
      </c>
      <c r="I86" s="102">
        <f>43/30*15</f>
        <v>21.5</v>
      </c>
      <c r="J86" s="40"/>
      <c r="K86" s="40"/>
      <c r="L86" s="6">
        <v>69</v>
      </c>
      <c r="M86" s="6">
        <v>43</v>
      </c>
      <c r="N86" s="94">
        <f>(69-43)*0.7</f>
        <v>18.2</v>
      </c>
      <c r="O86" s="72" t="s">
        <v>329</v>
      </c>
      <c r="P86" s="72">
        <v>12.74</v>
      </c>
    </row>
    <row r="87" spans="1:16">
      <c r="A87" s="44" t="s">
        <v>326</v>
      </c>
      <c r="B87" s="44"/>
      <c r="C87" s="35"/>
      <c r="D87" s="35">
        <v>45188</v>
      </c>
      <c r="E87" s="4">
        <v>45209</v>
      </c>
      <c r="F87" s="40"/>
      <c r="G87" s="40"/>
      <c r="H87" s="5">
        <v>11.48</v>
      </c>
      <c r="I87" s="102"/>
      <c r="J87" s="40"/>
      <c r="K87" s="40"/>
      <c r="L87" s="6">
        <v>59</v>
      </c>
      <c r="M87" s="6">
        <v>38</v>
      </c>
      <c r="N87" s="59">
        <f>(L87-M87)*0.7</f>
        <v>14.7</v>
      </c>
    </row>
    <row r="88" spans="1:16">
      <c r="A88" s="44" t="s">
        <v>108</v>
      </c>
      <c r="B88" s="44"/>
      <c r="C88" s="35"/>
      <c r="D88" s="35">
        <v>45231</v>
      </c>
      <c r="E88" s="4">
        <v>45231</v>
      </c>
      <c r="F88" s="40"/>
      <c r="G88" s="40"/>
      <c r="H88" s="5"/>
      <c r="I88" s="102"/>
      <c r="J88" s="40"/>
      <c r="K88" s="40"/>
      <c r="L88" s="6">
        <v>69</v>
      </c>
      <c r="M88" s="6">
        <v>43</v>
      </c>
      <c r="N88" s="59">
        <f>(L88-M88)*0.7</f>
        <v>18.2</v>
      </c>
    </row>
    <row r="89" spans="1:16">
      <c r="A89" s="44" t="s">
        <v>327</v>
      </c>
      <c r="B89" s="44"/>
      <c r="C89" s="35"/>
      <c r="D89" s="35"/>
      <c r="E89" s="4">
        <v>45127</v>
      </c>
      <c r="F89" s="40"/>
      <c r="G89" s="40"/>
      <c r="H89" s="5">
        <v>11.48</v>
      </c>
      <c r="I89" s="102"/>
      <c r="J89" s="40"/>
      <c r="K89" s="40"/>
      <c r="L89" s="6">
        <v>25</v>
      </c>
      <c r="M89" s="6">
        <v>9</v>
      </c>
      <c r="N89" s="59">
        <f>(L89-M89)*0.7</f>
        <v>11.2</v>
      </c>
    </row>
    <row r="90" spans="1:16">
      <c r="A90" s="44" t="s">
        <v>336</v>
      </c>
      <c r="B90" s="44"/>
      <c r="C90" s="35"/>
      <c r="D90" s="35">
        <v>45278</v>
      </c>
      <c r="E90" s="4">
        <v>45278</v>
      </c>
      <c r="F90" s="40"/>
      <c r="G90" s="40"/>
      <c r="H90" s="5"/>
      <c r="I90" s="102"/>
      <c r="J90" s="40"/>
      <c r="K90" s="40"/>
      <c r="L90" s="6">
        <v>69</v>
      </c>
      <c r="M90" s="6">
        <v>43</v>
      </c>
      <c r="N90" s="59">
        <f>(69-43)*0.7/30*42</f>
        <v>25.48</v>
      </c>
    </row>
    <row r="91" spans="1:16">
      <c r="A91" s="44" t="s">
        <v>337</v>
      </c>
      <c r="B91" s="44"/>
      <c r="C91" s="35">
        <v>45342</v>
      </c>
      <c r="D91" s="35">
        <v>44977</v>
      </c>
      <c r="E91" s="4">
        <v>45342</v>
      </c>
      <c r="F91" s="40"/>
      <c r="G91" s="40"/>
      <c r="H91" s="5">
        <v>13.78</v>
      </c>
      <c r="I91" s="102"/>
      <c r="J91" s="40">
        <f>45+50</f>
        <v>95</v>
      </c>
      <c r="K91" s="40"/>
      <c r="L91" s="6">
        <v>119</v>
      </c>
      <c r="M91" s="6">
        <f>38+7+9</f>
        <v>54</v>
      </c>
      <c r="N91" s="59">
        <f t="shared" ref="N91:N112" si="2">(L91-M91)*0.7</f>
        <v>45.5</v>
      </c>
    </row>
    <row r="92" spans="1:16">
      <c r="A92" s="44" t="s">
        <v>338</v>
      </c>
      <c r="B92" s="44"/>
      <c r="C92" s="35">
        <v>45271</v>
      </c>
      <c r="D92" s="35"/>
      <c r="E92" s="4">
        <v>45301</v>
      </c>
      <c r="F92" s="40"/>
      <c r="G92" s="40"/>
      <c r="H92" s="5">
        <v>14.26</v>
      </c>
      <c r="I92" s="102">
        <f>25/30*29</f>
        <v>24.166666666666668</v>
      </c>
      <c r="J92" s="40">
        <f>30+50</f>
        <v>80</v>
      </c>
      <c r="K92" s="40"/>
      <c r="L92" s="6">
        <v>80</v>
      </c>
      <c r="M92" s="6">
        <v>29</v>
      </c>
      <c r="N92" s="59">
        <f t="shared" si="2"/>
        <v>35.699999999999996</v>
      </c>
      <c r="O92" t="s">
        <v>339</v>
      </c>
    </row>
    <row r="93" spans="1:16">
      <c r="A93" s="44" t="s">
        <v>333</v>
      </c>
      <c r="B93" s="44"/>
      <c r="C93" s="35"/>
      <c r="D93" s="35"/>
      <c r="E93" s="4">
        <v>45336</v>
      </c>
      <c r="F93" s="40"/>
      <c r="G93" s="40"/>
      <c r="H93" s="5">
        <v>10</v>
      </c>
      <c r="I93" s="102">
        <v>0</v>
      </c>
      <c r="J93" s="40">
        <v>120</v>
      </c>
      <c r="K93" s="40"/>
      <c r="L93" s="6">
        <v>160</v>
      </c>
      <c r="M93" s="6">
        <v>72</v>
      </c>
      <c r="N93" s="59">
        <f t="shared" si="2"/>
        <v>61.599999999999994</v>
      </c>
    </row>
    <row r="94" spans="1:16">
      <c r="A94" s="44" t="s">
        <v>343</v>
      </c>
      <c r="B94" s="44"/>
      <c r="C94" s="35"/>
      <c r="D94" s="35"/>
      <c r="E94" s="4">
        <v>45336</v>
      </c>
      <c r="F94" s="40"/>
      <c r="G94" s="40"/>
      <c r="H94" s="5">
        <v>10.92</v>
      </c>
      <c r="I94" s="102"/>
      <c r="J94" s="40"/>
      <c r="K94" s="40"/>
      <c r="L94" s="6">
        <v>59</v>
      </c>
      <c r="M94" s="6">
        <v>38</v>
      </c>
      <c r="N94" s="59">
        <f t="shared" si="2"/>
        <v>14.7</v>
      </c>
    </row>
    <row r="95" spans="1:16">
      <c r="A95" s="44" t="s">
        <v>381</v>
      </c>
      <c r="B95" s="44"/>
      <c r="C95" s="35"/>
      <c r="D95" s="35">
        <v>45323</v>
      </c>
      <c r="E95" s="4">
        <v>45323</v>
      </c>
      <c r="F95" s="40"/>
      <c r="G95" s="40"/>
      <c r="H95" s="5">
        <v>10.92</v>
      </c>
      <c r="I95" s="102"/>
      <c r="J95" s="40"/>
      <c r="K95" s="40"/>
      <c r="L95" s="6">
        <v>59</v>
      </c>
      <c r="M95" s="6">
        <v>38</v>
      </c>
      <c r="N95" s="59">
        <f t="shared" si="2"/>
        <v>14.7</v>
      </c>
    </row>
    <row r="96" spans="1:16">
      <c r="A96" s="44" t="s">
        <v>345</v>
      </c>
      <c r="B96" s="44"/>
      <c r="C96" s="35"/>
      <c r="D96" s="35"/>
      <c r="E96" s="4">
        <v>45345</v>
      </c>
      <c r="F96" s="40"/>
      <c r="G96" s="40"/>
      <c r="H96" s="5">
        <v>24.2</v>
      </c>
      <c r="I96" s="102"/>
      <c r="J96" s="40">
        <v>45</v>
      </c>
      <c r="K96" s="40"/>
      <c r="L96" s="6">
        <v>90</v>
      </c>
      <c r="M96" s="6">
        <f>7+9</f>
        <v>16</v>
      </c>
      <c r="N96" s="59">
        <f t="shared" si="2"/>
        <v>51.8</v>
      </c>
    </row>
    <row r="97" spans="1:14">
      <c r="A97" s="44" t="s">
        <v>346</v>
      </c>
      <c r="B97" s="44"/>
      <c r="C97" s="35"/>
      <c r="D97" s="35"/>
      <c r="E97" s="4">
        <v>45334</v>
      </c>
      <c r="F97" s="40"/>
      <c r="G97" s="40"/>
      <c r="H97" s="5">
        <v>12.01</v>
      </c>
      <c r="I97" s="102"/>
      <c r="J97" s="40">
        <v>15</v>
      </c>
      <c r="K97" s="40"/>
      <c r="L97" s="6">
        <v>20</v>
      </c>
      <c r="M97" s="6">
        <v>9</v>
      </c>
      <c r="N97" s="70">
        <f t="shared" si="2"/>
        <v>7.6999999999999993</v>
      </c>
    </row>
    <row r="98" spans="1:14">
      <c r="A98" s="44" t="s">
        <v>361</v>
      </c>
      <c r="B98" s="44"/>
      <c r="C98" s="35"/>
      <c r="D98" s="35">
        <v>45366</v>
      </c>
      <c r="E98" s="4">
        <v>45385</v>
      </c>
      <c r="F98" s="40"/>
      <c r="G98" s="40"/>
      <c r="H98" s="5"/>
      <c r="I98" s="102">
        <f>69/30*18</f>
        <v>41.4</v>
      </c>
      <c r="J98" s="40"/>
      <c r="K98" s="40"/>
      <c r="L98" s="6">
        <v>69</v>
      </c>
      <c r="M98" s="6">
        <v>43</v>
      </c>
      <c r="N98" s="70">
        <f t="shared" si="2"/>
        <v>18.2</v>
      </c>
    </row>
    <row r="99" spans="1:14">
      <c r="A99" s="44" t="s">
        <v>365</v>
      </c>
      <c r="B99" s="44"/>
      <c r="C99" s="35"/>
      <c r="D99" s="35">
        <v>45450</v>
      </c>
      <c r="E99" s="4">
        <v>45456</v>
      </c>
      <c r="F99" s="40"/>
      <c r="G99" s="40"/>
      <c r="H99" s="5"/>
      <c r="I99" s="102">
        <f>47/30*5</f>
        <v>7.833333333333333</v>
      </c>
      <c r="J99" s="40"/>
      <c r="K99" s="40"/>
      <c r="L99" s="6">
        <v>69</v>
      </c>
      <c r="M99" s="6">
        <v>47</v>
      </c>
      <c r="N99" s="59">
        <f t="shared" si="2"/>
        <v>15.399999999999999</v>
      </c>
    </row>
    <row r="100" spans="1:14">
      <c r="A100" s="44" t="s">
        <v>358</v>
      </c>
      <c r="B100" s="44"/>
      <c r="C100" s="35"/>
      <c r="D100" s="35">
        <v>45468</v>
      </c>
      <c r="E100" s="4">
        <v>45468</v>
      </c>
      <c r="F100" s="40"/>
      <c r="G100" s="40"/>
      <c r="H100" s="5">
        <v>12.01</v>
      </c>
      <c r="I100" s="102"/>
      <c r="J100" s="40"/>
      <c r="K100" s="40"/>
      <c r="L100" s="6">
        <v>59</v>
      </c>
      <c r="M100" s="6">
        <v>38</v>
      </c>
      <c r="N100" s="59">
        <f t="shared" si="2"/>
        <v>14.7</v>
      </c>
    </row>
    <row r="101" spans="1:14">
      <c r="A101" s="44" t="s">
        <v>218</v>
      </c>
      <c r="B101" s="44"/>
      <c r="C101" s="35"/>
      <c r="D101" s="35">
        <v>45456</v>
      </c>
      <c r="E101" s="4">
        <v>45456</v>
      </c>
      <c r="F101" s="40"/>
      <c r="G101" s="40"/>
      <c r="H101" s="5">
        <v>10</v>
      </c>
      <c r="I101" s="102"/>
      <c r="J101" s="40">
        <v>45</v>
      </c>
      <c r="K101" s="40"/>
      <c r="L101" s="6">
        <v>80</v>
      </c>
      <c r="M101" s="6">
        <v>27</v>
      </c>
      <c r="N101" s="59">
        <f t="shared" si="2"/>
        <v>37.099999999999994</v>
      </c>
    </row>
    <row r="102" spans="1:14">
      <c r="A102" s="44" t="s">
        <v>366</v>
      </c>
      <c r="B102" s="44"/>
      <c r="C102" s="35"/>
      <c r="D102" s="35">
        <v>45454</v>
      </c>
      <c r="E102" s="4"/>
      <c r="F102" s="40"/>
      <c r="G102" s="40"/>
      <c r="H102" s="5"/>
      <c r="I102" s="102"/>
      <c r="J102" s="40"/>
      <c r="K102" s="40"/>
      <c r="L102" s="6">
        <v>59</v>
      </c>
      <c r="M102" s="6">
        <v>38</v>
      </c>
      <c r="N102" s="59">
        <f t="shared" si="2"/>
        <v>14.7</v>
      </c>
    </row>
    <row r="103" spans="1:14">
      <c r="A103" s="44" t="s">
        <v>64</v>
      </c>
      <c r="B103" s="44"/>
      <c r="C103" s="35"/>
      <c r="D103" s="35">
        <v>45469</v>
      </c>
      <c r="E103" s="4">
        <v>45469</v>
      </c>
      <c r="F103" s="40"/>
      <c r="G103" s="40"/>
      <c r="H103" s="5"/>
      <c r="I103" s="102"/>
      <c r="J103" s="40"/>
      <c r="K103" s="40"/>
      <c r="L103" s="6">
        <v>100</v>
      </c>
      <c r="M103" s="18">
        <v>5</v>
      </c>
      <c r="N103" s="59">
        <f t="shared" si="2"/>
        <v>66.5</v>
      </c>
    </row>
    <row r="104" spans="1:14">
      <c r="A104" s="44" t="s">
        <v>369</v>
      </c>
      <c r="B104" s="44"/>
      <c r="C104" s="35"/>
      <c r="D104" s="35">
        <v>45464</v>
      </c>
      <c r="E104" s="4">
        <v>41811</v>
      </c>
      <c r="F104" s="40"/>
      <c r="G104" s="40"/>
      <c r="H104" s="5">
        <v>24.98</v>
      </c>
      <c r="I104" s="102"/>
      <c r="J104" s="40">
        <v>15</v>
      </c>
      <c r="K104" s="40"/>
      <c r="L104" s="6">
        <v>80</v>
      </c>
      <c r="M104" s="6">
        <v>42.5</v>
      </c>
      <c r="N104" s="59">
        <f t="shared" si="2"/>
        <v>26.25</v>
      </c>
    </row>
    <row r="105" spans="1:14">
      <c r="A105" s="44" t="s">
        <v>370</v>
      </c>
      <c r="B105" s="44"/>
      <c r="C105" s="35"/>
      <c r="D105" s="35">
        <v>45444</v>
      </c>
      <c r="E105" s="4">
        <v>41791</v>
      </c>
      <c r="F105" s="40"/>
      <c r="G105" s="40"/>
      <c r="H105" s="5">
        <v>12.98</v>
      </c>
      <c r="I105" s="102"/>
      <c r="J105" s="40">
        <v>30</v>
      </c>
      <c r="K105" s="40"/>
      <c r="L105" s="6">
        <v>65</v>
      </c>
      <c r="M105" s="6">
        <v>18</v>
      </c>
      <c r="N105" s="59">
        <f t="shared" si="2"/>
        <v>32.9</v>
      </c>
    </row>
    <row r="106" spans="1:14">
      <c r="A106" s="44" t="s">
        <v>375</v>
      </c>
      <c r="B106" s="44"/>
      <c r="C106" s="35"/>
      <c r="D106" s="35">
        <v>45471</v>
      </c>
      <c r="E106" s="35">
        <v>45471</v>
      </c>
      <c r="F106" s="40"/>
      <c r="G106" s="40"/>
      <c r="H106" s="5">
        <f>10+12.01</f>
        <v>22.009999999999998</v>
      </c>
      <c r="I106" s="102"/>
      <c r="J106" s="40">
        <v>30</v>
      </c>
      <c r="K106" s="40"/>
      <c r="L106" s="6">
        <v>90</v>
      </c>
      <c r="M106" s="18">
        <f>38.5+1+18</f>
        <v>57.5</v>
      </c>
      <c r="N106" s="70">
        <f t="shared" si="2"/>
        <v>22.75</v>
      </c>
    </row>
    <row r="107" spans="1:14">
      <c r="A107" s="44" t="s">
        <v>83</v>
      </c>
      <c r="B107" s="44"/>
      <c r="C107" s="35"/>
      <c r="D107" s="35">
        <v>45482</v>
      </c>
      <c r="E107" s="35">
        <v>45482</v>
      </c>
      <c r="F107" s="40"/>
      <c r="G107" s="40"/>
      <c r="H107" s="5"/>
      <c r="I107" s="102"/>
      <c r="J107" s="40"/>
      <c r="K107" s="40"/>
      <c r="L107" s="6">
        <v>69</v>
      </c>
      <c r="M107" s="18">
        <v>43</v>
      </c>
      <c r="N107" s="70">
        <f t="shared" si="2"/>
        <v>18.2</v>
      </c>
    </row>
    <row r="108" spans="1:14">
      <c r="A108" s="44" t="s">
        <v>383</v>
      </c>
      <c r="B108" s="44"/>
      <c r="C108" s="35"/>
      <c r="D108" s="35">
        <v>45434</v>
      </c>
      <c r="E108" s="35">
        <v>45513</v>
      </c>
      <c r="F108" s="40"/>
      <c r="G108" s="40"/>
      <c r="H108" s="5">
        <v>14.58</v>
      </c>
      <c r="I108" s="102"/>
      <c r="J108" s="40"/>
      <c r="K108" s="40"/>
      <c r="L108" s="6">
        <v>69</v>
      </c>
      <c r="M108" s="18">
        <v>43</v>
      </c>
      <c r="N108" s="70">
        <f t="shared" si="2"/>
        <v>18.2</v>
      </c>
    </row>
    <row r="109" spans="1:14">
      <c r="A109" s="44" t="s">
        <v>384</v>
      </c>
      <c r="B109" s="44"/>
      <c r="C109" s="35"/>
      <c r="D109" s="35"/>
      <c r="E109" s="35">
        <v>45513</v>
      </c>
      <c r="F109" s="40"/>
      <c r="G109" s="40"/>
      <c r="H109" s="5"/>
      <c r="I109" s="102"/>
      <c r="J109" s="40">
        <v>60</v>
      </c>
      <c r="K109" s="40"/>
      <c r="L109" s="6">
        <v>115</v>
      </c>
      <c r="M109" s="6">
        <v>37</v>
      </c>
      <c r="N109" s="70">
        <f t="shared" si="2"/>
        <v>54.599999999999994</v>
      </c>
    </row>
    <row r="110" spans="1:14">
      <c r="A110" s="44" t="s">
        <v>389</v>
      </c>
      <c r="B110" s="44"/>
      <c r="C110" s="35"/>
      <c r="D110" s="35">
        <v>45574</v>
      </c>
      <c r="E110" s="35">
        <v>45574</v>
      </c>
      <c r="F110" s="40"/>
      <c r="G110" s="40"/>
      <c r="H110" s="5"/>
      <c r="I110" s="102"/>
      <c r="J110" s="40"/>
      <c r="K110" s="40"/>
      <c r="L110" s="6">
        <v>10</v>
      </c>
      <c r="M110" s="6">
        <v>1</v>
      </c>
      <c r="N110" s="59">
        <f t="shared" si="2"/>
        <v>6.3</v>
      </c>
    </row>
    <row r="111" spans="1:14">
      <c r="A111" s="44" t="s">
        <v>397</v>
      </c>
      <c r="B111" s="44"/>
      <c r="C111" s="35"/>
      <c r="D111" s="35">
        <v>45510</v>
      </c>
      <c r="E111" s="35">
        <v>45574</v>
      </c>
      <c r="F111" s="40"/>
      <c r="G111" s="40"/>
      <c r="H111" s="5">
        <v>31.89</v>
      </c>
      <c r="I111" s="102">
        <f>79/30*63*0.5</f>
        <v>82.95</v>
      </c>
      <c r="J111" s="40">
        <v>60</v>
      </c>
      <c r="K111" s="40"/>
      <c r="L111" s="6">
        <v>174</v>
      </c>
      <c r="M111" s="6">
        <v>79</v>
      </c>
      <c r="N111" s="59">
        <f t="shared" si="2"/>
        <v>66.5</v>
      </c>
    </row>
    <row r="112" spans="1:14">
      <c r="A112" s="44" t="s">
        <v>398</v>
      </c>
      <c r="B112" s="44"/>
      <c r="C112" s="35"/>
      <c r="D112" s="35">
        <v>45516</v>
      </c>
      <c r="E112" s="35">
        <v>45583</v>
      </c>
      <c r="F112" s="40"/>
      <c r="G112" s="40"/>
      <c r="H112" s="5"/>
      <c r="I112" s="102">
        <f>56.5/30*66*0.5</f>
        <v>62.15</v>
      </c>
      <c r="J112" s="40">
        <v>75</v>
      </c>
      <c r="K112" s="40"/>
      <c r="L112" s="6">
        <v>121.8</v>
      </c>
      <c r="M112" s="6">
        <v>47.5</v>
      </c>
      <c r="N112" s="59">
        <f t="shared" si="2"/>
        <v>52.01</v>
      </c>
    </row>
    <row r="113" spans="1:14">
      <c r="A113" s="44" t="s">
        <v>390</v>
      </c>
      <c r="B113" s="44"/>
      <c r="C113" s="35"/>
      <c r="D113" s="35">
        <v>45573</v>
      </c>
      <c r="E113" s="35">
        <v>45621</v>
      </c>
      <c r="F113" s="40"/>
      <c r="G113" s="40"/>
      <c r="H113" s="5">
        <v>16.940000000000001</v>
      </c>
      <c r="I113" s="102">
        <f>47.5/30*47</f>
        <v>74.416666666666657</v>
      </c>
      <c r="J113" s="40">
        <v>60</v>
      </c>
      <c r="K113" s="40"/>
      <c r="L113" s="6">
        <v>130</v>
      </c>
      <c r="M113" s="6">
        <v>63.5</v>
      </c>
      <c r="N113" s="59">
        <f>(L113-M113)*0.7</f>
        <v>46.55</v>
      </c>
    </row>
    <row r="114" spans="1:14">
      <c r="A114" s="44" t="s">
        <v>406</v>
      </c>
      <c r="B114" s="44"/>
      <c r="C114" s="35">
        <v>45624</v>
      </c>
      <c r="D114" s="35">
        <v>45631</v>
      </c>
      <c r="E114" s="35">
        <v>45631</v>
      </c>
      <c r="F114" s="40"/>
      <c r="G114" s="40"/>
      <c r="H114" s="5">
        <v>13.98</v>
      </c>
      <c r="I114" s="102"/>
      <c r="J114" s="40">
        <v>15</v>
      </c>
      <c r="K114" s="40"/>
      <c r="L114" s="6">
        <v>59</v>
      </c>
      <c r="M114" s="6">
        <v>38</v>
      </c>
      <c r="N114" s="59">
        <f>(L114-M114)*0.7</f>
        <v>14.7</v>
      </c>
    </row>
    <row r="115" spans="1:14">
      <c r="A115" s="44" t="s">
        <v>410</v>
      </c>
      <c r="B115" s="44"/>
      <c r="C115" s="35"/>
      <c r="D115" s="35"/>
      <c r="E115" s="35">
        <v>45613</v>
      </c>
      <c r="F115" s="40"/>
      <c r="G115" s="40"/>
      <c r="H115" s="5">
        <v>10</v>
      </c>
      <c r="I115" s="102">
        <f>-(14*14+14/30*13)</f>
        <v>-202.06666666666666</v>
      </c>
      <c r="J115" s="40">
        <v>15</v>
      </c>
      <c r="K115" s="40"/>
      <c r="L115" s="6">
        <v>30</v>
      </c>
      <c r="M115" s="6">
        <v>10</v>
      </c>
      <c r="N115" s="59">
        <f t="shared" ref="N115:N136" si="3">(L115-M115)*0.7</f>
        <v>14</v>
      </c>
    </row>
    <row r="116" spans="1:14">
      <c r="A116" s="44" t="s">
        <v>402</v>
      </c>
      <c r="B116" s="44"/>
      <c r="C116" s="35"/>
      <c r="D116" s="35">
        <v>45637</v>
      </c>
      <c r="E116" s="35">
        <v>45698</v>
      </c>
      <c r="F116" s="40"/>
      <c r="G116" s="40"/>
      <c r="H116" s="5">
        <v>13.98</v>
      </c>
      <c r="I116" s="102">
        <f>45/30*59</f>
        <v>88.5</v>
      </c>
      <c r="J116" s="40">
        <v>30</v>
      </c>
      <c r="K116" s="40"/>
      <c r="L116" s="6">
        <v>120</v>
      </c>
      <c r="M116" s="6">
        <v>45</v>
      </c>
      <c r="N116" s="59">
        <f t="shared" si="3"/>
        <v>52.5</v>
      </c>
    </row>
    <row r="117" spans="1:14">
      <c r="A117" s="44" t="s">
        <v>392</v>
      </c>
      <c r="B117" s="44"/>
      <c r="C117" s="35"/>
      <c r="D117" s="35"/>
      <c r="E117" s="35">
        <v>45694</v>
      </c>
      <c r="F117" s="40"/>
      <c r="G117" s="40"/>
      <c r="H117" s="5">
        <v>31.89</v>
      </c>
      <c r="I117" s="102" t="s">
        <v>414</v>
      </c>
      <c r="J117" s="40">
        <v>75</v>
      </c>
      <c r="K117" s="40"/>
      <c r="L117" s="6">
        <v>145</v>
      </c>
      <c r="M117" s="6">
        <v>72</v>
      </c>
      <c r="N117" s="59">
        <f t="shared" si="3"/>
        <v>51.099999999999994</v>
      </c>
    </row>
    <row r="118" spans="1:14">
      <c r="A118" s="44" t="s">
        <v>413</v>
      </c>
      <c r="B118" s="44"/>
      <c r="C118" s="35"/>
      <c r="D118" s="35"/>
      <c r="E118" s="35">
        <v>45730</v>
      </c>
      <c r="F118" s="40"/>
      <c r="G118" s="40"/>
      <c r="H118" s="5">
        <v>15.34</v>
      </c>
      <c r="I118" s="102"/>
      <c r="J118" s="40"/>
      <c r="K118" s="40"/>
      <c r="L118" s="6">
        <v>80</v>
      </c>
      <c r="M118" s="6">
        <v>28</v>
      </c>
      <c r="N118" s="59">
        <f t="shared" si="3"/>
        <v>36.4</v>
      </c>
    </row>
    <row r="119" spans="1:14">
      <c r="A119" s="44" t="s">
        <v>418</v>
      </c>
      <c r="B119" s="44"/>
      <c r="C119" s="35"/>
      <c r="D119" s="35"/>
      <c r="E119" s="35">
        <v>45737</v>
      </c>
      <c r="F119" s="40"/>
      <c r="G119" s="40"/>
      <c r="H119" s="5">
        <v>32.17</v>
      </c>
      <c r="I119" s="102"/>
      <c r="J119" s="40">
        <v>90</v>
      </c>
      <c r="K119" s="40"/>
      <c r="L119" s="6">
        <v>150</v>
      </c>
      <c r="M119" s="6">
        <v>43</v>
      </c>
      <c r="N119" s="59">
        <f t="shared" si="3"/>
        <v>74.899999999999991</v>
      </c>
    </row>
    <row r="120" spans="1:14">
      <c r="A120" s="44" t="s">
        <v>417</v>
      </c>
      <c r="B120" s="44"/>
      <c r="C120" s="35"/>
      <c r="D120" s="35"/>
      <c r="E120" s="35">
        <v>45687</v>
      </c>
      <c r="F120" s="40"/>
      <c r="G120" s="40"/>
      <c r="H120" s="5"/>
      <c r="I120" s="102"/>
      <c r="J120" s="40">
        <v>40</v>
      </c>
      <c r="K120" s="40"/>
      <c r="L120" s="6">
        <v>59</v>
      </c>
      <c r="M120" s="6">
        <v>43</v>
      </c>
      <c r="N120" s="59">
        <f t="shared" si="3"/>
        <v>11.2</v>
      </c>
    </row>
    <row r="121" spans="1:14">
      <c r="A121" s="44" t="s">
        <v>423</v>
      </c>
      <c r="B121" s="44"/>
      <c r="C121" s="35"/>
      <c r="D121" s="35"/>
      <c r="E121" s="35">
        <v>45714</v>
      </c>
      <c r="F121" s="40"/>
      <c r="G121" s="40"/>
      <c r="H121" s="5"/>
      <c r="I121" s="102"/>
      <c r="J121" s="40"/>
      <c r="K121" s="40"/>
      <c r="L121" s="6">
        <v>50</v>
      </c>
      <c r="M121" s="6">
        <v>41</v>
      </c>
      <c r="N121" s="59">
        <f t="shared" si="3"/>
        <v>6.3</v>
      </c>
    </row>
    <row r="122" spans="1:14">
      <c r="A122" s="44" t="s">
        <v>424</v>
      </c>
      <c r="B122" s="44"/>
      <c r="C122" s="35"/>
      <c r="D122" s="35"/>
      <c r="E122" s="35">
        <v>45750</v>
      </c>
      <c r="F122" s="40"/>
      <c r="G122" s="40"/>
      <c r="H122" s="5">
        <v>15.34</v>
      </c>
      <c r="I122" s="102"/>
      <c r="J122" s="40">
        <v>30</v>
      </c>
      <c r="K122" s="40"/>
      <c r="L122" s="6">
        <v>45</v>
      </c>
      <c r="M122" s="6">
        <v>7</v>
      </c>
      <c r="N122" s="59">
        <f t="shared" si="3"/>
        <v>26.599999999999998</v>
      </c>
    </row>
    <row r="123" spans="1:14">
      <c r="A123" s="44" t="s">
        <v>425</v>
      </c>
      <c r="B123" s="44"/>
      <c r="C123" s="35"/>
      <c r="D123" s="35"/>
      <c r="E123" s="35">
        <v>45765</v>
      </c>
      <c r="F123" s="40"/>
      <c r="G123" s="40"/>
      <c r="H123" s="5">
        <v>14.54</v>
      </c>
      <c r="I123" s="102"/>
      <c r="J123" s="40"/>
      <c r="K123" s="40"/>
      <c r="L123" s="6">
        <v>220</v>
      </c>
      <c r="M123" s="6">
        <v>99</v>
      </c>
      <c r="N123" s="59">
        <f t="shared" si="3"/>
        <v>84.699999999999989</v>
      </c>
    </row>
    <row r="124" spans="1:14">
      <c r="A124" s="44" t="s">
        <v>441</v>
      </c>
      <c r="B124" s="44"/>
      <c r="C124" s="35"/>
      <c r="D124" s="35"/>
      <c r="E124" s="35">
        <v>45853</v>
      </c>
      <c r="F124" s="40"/>
      <c r="G124" s="40"/>
      <c r="H124" s="5">
        <v>12.44</v>
      </c>
      <c r="I124" s="102"/>
      <c r="J124" s="40"/>
      <c r="K124" s="40"/>
      <c r="L124" s="6">
        <v>59</v>
      </c>
      <c r="M124" s="6">
        <v>38</v>
      </c>
      <c r="N124" s="59">
        <f t="shared" si="3"/>
        <v>14.7</v>
      </c>
    </row>
    <row r="125" spans="1:14">
      <c r="A125" s="44" t="s">
        <v>408</v>
      </c>
      <c r="B125" s="44"/>
      <c r="C125" s="35"/>
      <c r="D125" s="35"/>
      <c r="E125" s="35"/>
      <c r="F125" s="40"/>
      <c r="G125" s="40"/>
      <c r="H125" s="5"/>
      <c r="I125" s="102"/>
      <c r="J125" s="40"/>
      <c r="K125" s="40"/>
      <c r="L125" s="6">
        <v>69</v>
      </c>
      <c r="M125" s="6">
        <v>38</v>
      </c>
      <c r="N125" s="59">
        <f t="shared" si="3"/>
        <v>21.7</v>
      </c>
    </row>
    <row r="126" spans="1:14">
      <c r="A126" s="44" t="s">
        <v>462</v>
      </c>
      <c r="B126" s="44"/>
      <c r="C126" s="35"/>
      <c r="D126" s="35"/>
      <c r="E126" s="35"/>
      <c r="F126" s="40"/>
      <c r="G126" s="40"/>
      <c r="H126" s="5"/>
      <c r="I126" s="102"/>
      <c r="J126" s="40"/>
      <c r="K126" s="40"/>
      <c r="L126" s="6">
        <v>40</v>
      </c>
      <c r="M126" s="6">
        <v>7</v>
      </c>
      <c r="N126" s="59">
        <f t="shared" si="3"/>
        <v>23.099999999999998</v>
      </c>
    </row>
    <row r="127" spans="1:14">
      <c r="A127" s="44" t="s">
        <v>470</v>
      </c>
      <c r="B127" s="44"/>
      <c r="C127" s="35"/>
      <c r="D127" s="35"/>
      <c r="E127" s="35">
        <v>45875</v>
      </c>
      <c r="F127" s="40"/>
      <c r="G127" s="40"/>
      <c r="H127" s="5">
        <v>12.44</v>
      </c>
      <c r="I127" s="102"/>
      <c r="J127" s="40"/>
      <c r="K127" s="40"/>
      <c r="L127" s="6">
        <v>59</v>
      </c>
      <c r="M127" s="6">
        <v>38</v>
      </c>
      <c r="N127" s="59">
        <f t="shared" si="3"/>
        <v>14.7</v>
      </c>
    </row>
    <row r="128" spans="1:14">
      <c r="A128" s="44" t="s">
        <v>469</v>
      </c>
      <c r="B128" s="44"/>
      <c r="C128" s="35"/>
      <c r="D128" s="35"/>
      <c r="E128" s="35">
        <v>45875</v>
      </c>
      <c r="F128" s="40"/>
      <c r="G128" s="40"/>
      <c r="H128" s="5">
        <v>12.44</v>
      </c>
      <c r="I128" s="102"/>
      <c r="J128" s="40"/>
      <c r="K128" s="40"/>
      <c r="L128" s="6">
        <v>59</v>
      </c>
      <c r="M128" s="6">
        <v>38</v>
      </c>
      <c r="N128" s="59">
        <f t="shared" si="3"/>
        <v>14.7</v>
      </c>
    </row>
    <row r="129" spans="1:14">
      <c r="A129" s="44" t="s">
        <v>471</v>
      </c>
      <c r="B129" s="44"/>
      <c r="C129" s="35"/>
      <c r="D129" s="35"/>
      <c r="E129" s="35">
        <v>45908</v>
      </c>
      <c r="F129" s="40"/>
      <c r="G129" s="40"/>
      <c r="H129" s="5">
        <v>12.44</v>
      </c>
      <c r="I129" s="102"/>
      <c r="J129" s="40"/>
      <c r="K129" s="40"/>
      <c r="L129" s="6">
        <v>59</v>
      </c>
      <c r="M129" s="6">
        <v>38</v>
      </c>
      <c r="N129" s="59">
        <f t="shared" si="3"/>
        <v>14.7</v>
      </c>
    </row>
    <row r="130" spans="1:14">
      <c r="A130" s="44" t="s">
        <v>64</v>
      </c>
      <c r="B130" s="44"/>
      <c r="C130" s="35"/>
      <c r="D130" s="35"/>
      <c r="E130" s="35">
        <v>45951</v>
      </c>
      <c r="F130" s="40"/>
      <c r="G130" s="40"/>
      <c r="H130" s="5">
        <v>13.54</v>
      </c>
      <c r="I130" s="102"/>
      <c r="J130" s="40"/>
      <c r="K130" s="40"/>
      <c r="L130" s="6">
        <v>59</v>
      </c>
      <c r="M130" s="6">
        <v>38</v>
      </c>
      <c r="N130" s="59">
        <f t="shared" si="3"/>
        <v>14.7</v>
      </c>
    </row>
    <row r="131" spans="1:14">
      <c r="A131" s="44" t="s">
        <v>490</v>
      </c>
      <c r="B131" s="44"/>
      <c r="C131" s="35"/>
      <c r="D131" s="35"/>
      <c r="E131" s="35">
        <v>45943</v>
      </c>
      <c r="F131" s="40"/>
      <c r="G131" s="40"/>
      <c r="H131" s="5">
        <v>13.44</v>
      </c>
      <c r="I131" s="102"/>
      <c r="J131" s="40"/>
      <c r="K131" s="40"/>
      <c r="L131" s="6">
        <v>69</v>
      </c>
      <c r="M131" s="6">
        <v>38</v>
      </c>
      <c r="N131" s="59">
        <f t="shared" si="3"/>
        <v>21.7</v>
      </c>
    </row>
    <row r="132" spans="1:14">
      <c r="A132" s="44" t="s">
        <v>493</v>
      </c>
      <c r="B132" s="44"/>
      <c r="C132" s="35"/>
      <c r="D132" s="35"/>
      <c r="E132" s="35">
        <v>45890</v>
      </c>
      <c r="F132" s="40"/>
      <c r="G132" s="40"/>
      <c r="H132" s="5">
        <v>13.44</v>
      </c>
      <c r="I132" s="102"/>
      <c r="J132" s="40"/>
      <c r="K132" s="40"/>
      <c r="L132" s="6">
        <v>59</v>
      </c>
      <c r="M132" s="6">
        <v>38</v>
      </c>
      <c r="N132" s="59">
        <f t="shared" si="3"/>
        <v>14.7</v>
      </c>
    </row>
    <row r="133" spans="1:14">
      <c r="A133" s="44" t="s">
        <v>496</v>
      </c>
      <c r="B133" s="44"/>
      <c r="C133" s="35"/>
      <c r="D133" s="35"/>
      <c r="E133" s="35">
        <v>42297</v>
      </c>
      <c r="F133" s="40"/>
      <c r="G133" s="40"/>
      <c r="H133" s="5">
        <v>12.44</v>
      </c>
      <c r="I133" s="102"/>
      <c r="J133" s="40">
        <v>60</v>
      </c>
      <c r="K133" s="40"/>
      <c r="L133" s="6">
        <v>60</v>
      </c>
      <c r="M133" s="6">
        <v>25</v>
      </c>
      <c r="N133" s="59">
        <f t="shared" si="3"/>
        <v>24.5</v>
      </c>
    </row>
    <row r="134" spans="1:14">
      <c r="A134" s="44" t="s">
        <v>497</v>
      </c>
      <c r="B134" s="44"/>
      <c r="C134" s="35"/>
      <c r="D134" s="35"/>
      <c r="E134" s="35">
        <v>45755</v>
      </c>
      <c r="F134" s="40"/>
      <c r="G134" s="40"/>
      <c r="H134" s="5">
        <v>12.44</v>
      </c>
      <c r="I134" s="102"/>
      <c r="J134" s="40"/>
      <c r="K134" s="40"/>
      <c r="L134" s="6">
        <v>59</v>
      </c>
      <c r="M134" s="6">
        <v>38</v>
      </c>
      <c r="N134" s="59">
        <f t="shared" si="3"/>
        <v>14.7</v>
      </c>
    </row>
    <row r="135" spans="1:14">
      <c r="A135" s="44" t="s">
        <v>500</v>
      </c>
      <c r="B135" s="44"/>
      <c r="C135" s="35"/>
      <c r="D135" s="35"/>
      <c r="E135" s="35">
        <v>45874</v>
      </c>
      <c r="F135" s="40"/>
      <c r="G135" s="40"/>
      <c r="H135" s="5">
        <v>14.54</v>
      </c>
      <c r="I135" s="102"/>
      <c r="J135" s="40"/>
      <c r="K135" s="40"/>
      <c r="L135" s="6">
        <v>75</v>
      </c>
      <c r="M135" s="6">
        <f>38+3.5</f>
        <v>41.5</v>
      </c>
      <c r="N135" s="59">
        <f t="shared" si="3"/>
        <v>23.45</v>
      </c>
    </row>
    <row r="136" spans="1:14">
      <c r="A136" s="44" t="s">
        <v>513</v>
      </c>
      <c r="B136" s="44"/>
      <c r="C136" s="35"/>
      <c r="D136" s="35"/>
      <c r="E136" s="35"/>
      <c r="F136" s="40"/>
      <c r="G136" s="40"/>
      <c r="H136" s="5"/>
      <c r="I136" s="102"/>
      <c r="J136" s="40"/>
      <c r="K136" s="40"/>
      <c r="L136" s="6">
        <v>80</v>
      </c>
      <c r="M136" s="6">
        <v>25</v>
      </c>
      <c r="N136" s="59">
        <f t="shared" si="3"/>
        <v>38.5</v>
      </c>
    </row>
    <row r="137" spans="1:14">
      <c r="A137" s="44" t="s">
        <v>520</v>
      </c>
      <c r="B137" s="44"/>
      <c r="C137" s="35"/>
      <c r="D137" s="35"/>
      <c r="E137" s="35"/>
      <c r="F137" s="40"/>
      <c r="G137" s="40"/>
      <c r="H137" s="5"/>
      <c r="I137" s="102"/>
      <c r="J137" s="40"/>
      <c r="K137" s="40"/>
      <c r="L137" s="6">
        <v>69</v>
      </c>
      <c r="M137" s="6">
        <v>43</v>
      </c>
      <c r="N137" s="59">
        <f>(L137-M137)*0.7*12</f>
        <v>218.39999999999998</v>
      </c>
    </row>
    <row r="138" spans="1:14">
      <c r="A138" s="10" t="s">
        <v>524</v>
      </c>
      <c r="B138" s="44"/>
      <c r="C138" s="35"/>
      <c r="D138" s="35"/>
      <c r="E138" s="35">
        <v>46010</v>
      </c>
      <c r="F138" s="40"/>
      <c r="G138" s="40"/>
      <c r="H138" s="5">
        <v>31.19</v>
      </c>
      <c r="I138" s="102"/>
      <c r="J138" s="40"/>
      <c r="K138" s="40"/>
      <c r="L138" s="6">
        <v>60</v>
      </c>
      <c r="M138" s="18">
        <v>25</v>
      </c>
      <c r="N138" s="70">
        <f>(L138-M138)*0.7/30*11</f>
        <v>8.9833333333333325</v>
      </c>
    </row>
    <row r="139" spans="1:14">
      <c r="A139" s="10" t="s">
        <v>526</v>
      </c>
      <c r="B139" s="44"/>
      <c r="C139" s="35"/>
      <c r="D139" s="35"/>
      <c r="E139" s="35">
        <v>45980</v>
      </c>
      <c r="F139" s="40"/>
      <c r="G139" s="40"/>
      <c r="H139" s="5"/>
      <c r="I139" s="102"/>
      <c r="J139" s="40"/>
      <c r="K139" s="40"/>
      <c r="L139" s="6">
        <v>59</v>
      </c>
      <c r="M139" s="18">
        <v>36.5</v>
      </c>
      <c r="N139" s="70">
        <f>(L139-M139)*0.7/30*41</f>
        <v>21.524999999999995</v>
      </c>
    </row>
    <row r="140" spans="1:14">
      <c r="A140" s="10" t="s">
        <v>525</v>
      </c>
      <c r="B140" s="44"/>
      <c r="C140" s="35"/>
      <c r="D140" s="35"/>
      <c r="E140" s="35">
        <v>46002</v>
      </c>
      <c r="F140" s="40"/>
      <c r="G140" s="40"/>
      <c r="H140" s="5">
        <v>13.54</v>
      </c>
      <c r="I140" s="102"/>
      <c r="J140" s="40"/>
      <c r="K140" s="40"/>
      <c r="L140" s="6">
        <v>25</v>
      </c>
      <c r="M140" s="18">
        <v>4.5</v>
      </c>
      <c r="N140" s="70">
        <f>(L140-M140)*0.7/30*19</f>
        <v>9.0883333333333329</v>
      </c>
    </row>
    <row r="141" spans="1:14">
      <c r="A141" s="10" t="s">
        <v>528</v>
      </c>
      <c r="B141" s="44"/>
      <c r="C141" s="35"/>
      <c r="D141" s="35"/>
      <c r="E141" s="35">
        <v>42332</v>
      </c>
      <c r="F141" s="40"/>
      <c r="G141" s="40"/>
      <c r="H141" s="5">
        <v>13.54</v>
      </c>
      <c r="I141" s="102"/>
      <c r="J141" s="40"/>
      <c r="K141" s="40"/>
      <c r="L141" s="6">
        <v>69</v>
      </c>
      <c r="M141" s="18">
        <v>36.5</v>
      </c>
      <c r="N141" s="70">
        <f>(L141-M141)*0.7/30*36</f>
        <v>27.299999999999997</v>
      </c>
    </row>
    <row r="142" spans="1:14">
      <c r="A142" s="10" t="s">
        <v>521</v>
      </c>
      <c r="B142" s="44"/>
      <c r="C142" s="35"/>
      <c r="D142" s="35"/>
      <c r="E142" s="35">
        <v>46009</v>
      </c>
      <c r="F142" s="40"/>
      <c r="G142" s="40"/>
      <c r="H142" s="5">
        <v>13.54</v>
      </c>
      <c r="I142" s="102"/>
      <c r="J142" s="40"/>
      <c r="K142" s="40"/>
      <c r="L142" s="6">
        <v>59</v>
      </c>
      <c r="M142" s="18">
        <v>36.5</v>
      </c>
      <c r="N142" s="70">
        <f>(L142-M142)*0.7/30*12</f>
        <v>6.2999999999999989</v>
      </c>
    </row>
    <row r="143" spans="1:14">
      <c r="C143" s="36"/>
      <c r="D143" s="36"/>
      <c r="F143" s="28"/>
      <c r="G143" s="28"/>
      <c r="H143" s="30">
        <f>SUM(H138:H142)</f>
        <v>71.81</v>
      </c>
      <c r="I143" s="30"/>
      <c r="M143" s="62" t="s">
        <v>4</v>
      </c>
      <c r="N143" s="18">
        <f>SUM(N2:N141)</f>
        <v>4975.7366666666621</v>
      </c>
    </row>
    <row r="144" spans="1:14">
      <c r="C144" s="36"/>
      <c r="D144" s="36"/>
      <c r="F144" s="28"/>
      <c r="G144" s="28"/>
      <c r="H144" s="30"/>
      <c r="I144" s="104"/>
      <c r="M144" s="61" t="s">
        <v>251</v>
      </c>
      <c r="N144" s="6">
        <f>N143-H143+N154</f>
        <v>5093.8766666666615</v>
      </c>
    </row>
    <row r="145" spans="1:16">
      <c r="C145" s="36"/>
      <c r="D145" s="36"/>
      <c r="F145" s="28"/>
      <c r="G145" s="28"/>
      <c r="H145" s="30"/>
      <c r="I145" s="104"/>
    </row>
    <row r="146" spans="1:16">
      <c r="L146" t="s">
        <v>532</v>
      </c>
      <c r="M146" s="1"/>
      <c r="N146">
        <f>-(149+33*0.7)</f>
        <v>-172.1</v>
      </c>
    </row>
    <row r="147" spans="1:16">
      <c r="A147" s="28"/>
      <c r="B147" s="28"/>
      <c r="E147" s="15"/>
      <c r="F147" s="1"/>
      <c r="G147" s="1"/>
      <c r="H147" s="1"/>
      <c r="J147" s="1"/>
      <c r="K147" s="1"/>
      <c r="L147" t="s">
        <v>522</v>
      </c>
      <c r="M147" s="1"/>
      <c r="N147" s="66">
        <f>-52*0.7</f>
        <v>-36.4</v>
      </c>
    </row>
    <row r="148" spans="1:16">
      <c r="L148" s="1" t="s">
        <v>523</v>
      </c>
      <c r="M148" s="1"/>
      <c r="N148">
        <v>-99</v>
      </c>
    </row>
    <row r="149" spans="1:16">
      <c r="L149" s="69" t="s">
        <v>527</v>
      </c>
      <c r="M149"/>
      <c r="N149" s="69">
        <f>153.5*0.7</f>
        <v>107.44999999999999</v>
      </c>
      <c r="P149" s="42"/>
    </row>
    <row r="150" spans="1:16">
      <c r="L150" s="69" t="s">
        <v>529</v>
      </c>
      <c r="N150">
        <f>213.5*0.7</f>
        <v>149.44999999999999</v>
      </c>
    </row>
    <row r="151" spans="1:16">
      <c r="L151" s="69" t="s">
        <v>530</v>
      </c>
      <c r="N151">
        <f>153.5*0.7</f>
        <v>107.44999999999999</v>
      </c>
    </row>
    <row r="152" spans="1:16">
      <c r="L152" s="69" t="s">
        <v>531</v>
      </c>
      <c r="N152">
        <v>-51.2</v>
      </c>
    </row>
    <row r="153" spans="1:16">
      <c r="L153" t="s">
        <v>473</v>
      </c>
      <c r="M153" s="1"/>
      <c r="N153">
        <v>184.3</v>
      </c>
    </row>
    <row r="154" spans="1:16">
      <c r="L154" s="1"/>
      <c r="N154" s="108">
        <f>SUM(N146:N153)</f>
        <v>189.95</v>
      </c>
      <c r="P154" s="42"/>
    </row>
    <row r="155" spans="1:16">
      <c r="L155" s="1"/>
    </row>
    <row r="156" spans="1:16">
      <c r="L156" s="1"/>
      <c r="N156" s="1"/>
      <c r="P156" s="42"/>
    </row>
    <row r="157" spans="1:16">
      <c r="L157" s="1"/>
      <c r="N157" s="1"/>
      <c r="P157" s="42"/>
    </row>
    <row r="158" spans="1:16">
      <c r="L158" s="1"/>
      <c r="N158" s="1"/>
      <c r="P158" s="42"/>
    </row>
    <row r="159" spans="1:16">
      <c r="L159" s="1"/>
      <c r="N159" s="1"/>
      <c r="P159" s="42"/>
    </row>
    <row r="160" spans="1:16">
      <c r="L160" s="1"/>
      <c r="N160" s="1"/>
      <c r="P160" s="42"/>
    </row>
    <row r="161" spans="1:16">
      <c r="L161" s="1"/>
      <c r="N161" s="1"/>
      <c r="P161" s="42"/>
    </row>
    <row r="162" spans="1:16" s="66" customFormat="1">
      <c r="A162"/>
      <c r="B162"/>
      <c r="C162"/>
      <c r="D162"/>
      <c r="E162"/>
      <c r="F162"/>
      <c r="G162"/>
      <c r="H162"/>
      <c r="I162" s="105"/>
      <c r="J162"/>
      <c r="K162"/>
      <c r="L162" s="1"/>
      <c r="N162"/>
      <c r="O162"/>
      <c r="P162"/>
    </row>
    <row r="163" spans="1:16" s="66" customFormat="1">
      <c r="A163"/>
      <c r="B163"/>
      <c r="C163"/>
      <c r="D163"/>
      <c r="E163"/>
      <c r="F163"/>
      <c r="G163"/>
      <c r="H163"/>
      <c r="I163" s="105"/>
      <c r="J163"/>
      <c r="K163"/>
      <c r="L163"/>
      <c r="M163" s="1"/>
      <c r="N163"/>
      <c r="O163"/>
      <c r="P163"/>
    </row>
  </sheetData>
  <autoFilter ref="A1:P144">
    <sortState ref="A2:P75">
      <sortCondition ref="B1:B75"/>
    </sortState>
  </autoFilter>
  <pageMargins left="0.7" right="0.7" top="0.75" bottom="0.75" header="0.3" footer="0.3"/>
  <pageSetup paperSize="9" orientation="portrait" r:id="rId1"/>
</worksheet>
</file>

<file path=xl/worksheets/sheet105.xml><?xml version="1.0" encoding="utf-8"?>
<worksheet xmlns="http://schemas.openxmlformats.org/spreadsheetml/2006/main" xmlns:r="http://schemas.openxmlformats.org/officeDocument/2006/relationships">
  <dimension ref="A1:P165"/>
  <sheetViews>
    <sheetView topLeftCell="B140" workbookViewId="0">
      <selection activeCell="L153" sqref="L153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2" max="12" width="19.140625" customWidth="1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28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45</v>
      </c>
      <c r="M3" s="61">
        <v>25</v>
      </c>
      <c r="N3" s="6">
        <f t="shared" si="0"/>
        <v>14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30</v>
      </c>
      <c r="M8" s="61">
        <v>7</v>
      </c>
      <c r="N8" s="6">
        <f t="shared" si="0"/>
        <v>16.099999999999998</v>
      </c>
    </row>
    <row r="9" spans="1:15">
      <c r="A9" s="2" t="s">
        <v>27</v>
      </c>
      <c r="B9" s="2"/>
      <c r="C9" s="4">
        <v>42656</v>
      </c>
      <c r="D9" s="4"/>
      <c r="E9" s="4">
        <v>42705</v>
      </c>
      <c r="F9" s="5"/>
      <c r="G9" s="49"/>
      <c r="H9" s="5">
        <v>8.17</v>
      </c>
      <c r="I9" s="102">
        <f>M9/30*47</f>
        <v>39.166666666666671</v>
      </c>
      <c r="J9" s="5"/>
      <c r="K9" s="5"/>
      <c r="L9" s="6">
        <v>40</v>
      </c>
      <c r="M9" s="62">
        <v>25</v>
      </c>
      <c r="N9" s="18">
        <f t="shared" si="0"/>
        <v>10.5</v>
      </c>
    </row>
    <row r="10" spans="1:15">
      <c r="A10" s="2" t="s">
        <v>29</v>
      </c>
      <c r="B10" s="2"/>
      <c r="C10" s="4">
        <v>42683</v>
      </c>
      <c r="D10" s="4"/>
      <c r="E10" s="4">
        <v>42718</v>
      </c>
      <c r="F10" s="5"/>
      <c r="G10" s="49"/>
      <c r="H10" s="5">
        <v>8.9700000000000006</v>
      </c>
      <c r="I10" s="102">
        <f>M10/30*35</f>
        <v>42</v>
      </c>
      <c r="J10" s="5"/>
      <c r="K10" s="5"/>
      <c r="L10" s="6">
        <f>105</f>
        <v>105</v>
      </c>
      <c r="M10" s="62">
        <v>36</v>
      </c>
      <c r="N10" s="18">
        <f t="shared" si="0"/>
        <v>48.3</v>
      </c>
    </row>
    <row r="11" spans="1:15">
      <c r="A11" s="2" t="s">
        <v>28</v>
      </c>
      <c r="B11" s="2"/>
      <c r="C11" s="4">
        <v>42711</v>
      </c>
      <c r="D11" s="4"/>
      <c r="E11" s="4">
        <v>42734</v>
      </c>
      <c r="F11" s="5"/>
      <c r="G11" s="49"/>
      <c r="H11" s="5">
        <v>8.17</v>
      </c>
      <c r="I11" s="102">
        <f>M11/30*23</f>
        <v>19.166666666666668</v>
      </c>
      <c r="J11" s="5"/>
      <c r="K11" s="5"/>
      <c r="L11" s="6">
        <v>40</v>
      </c>
      <c r="M11" s="62">
        <v>25</v>
      </c>
      <c r="N11" s="18">
        <f t="shared" si="0"/>
        <v>10.5</v>
      </c>
    </row>
    <row r="12" spans="1:15">
      <c r="A12" s="2" t="s">
        <v>32</v>
      </c>
      <c r="B12" s="2"/>
      <c r="C12" s="4">
        <v>42857</v>
      </c>
      <c r="D12" s="4"/>
      <c r="E12" s="4">
        <v>42866</v>
      </c>
      <c r="F12" s="5"/>
      <c r="G12" s="49"/>
      <c r="H12" s="5"/>
      <c r="I12" s="102">
        <f>23/30*9</f>
        <v>6.9</v>
      </c>
      <c r="J12" s="5">
        <f>60*0.7</f>
        <v>42</v>
      </c>
      <c r="K12" s="5"/>
      <c r="L12" s="6">
        <v>60</v>
      </c>
      <c r="M12" s="61">
        <v>23</v>
      </c>
      <c r="N12" s="6">
        <f t="shared" si="0"/>
        <v>25.9</v>
      </c>
    </row>
    <row r="13" spans="1:15">
      <c r="A13" s="2" t="s">
        <v>37</v>
      </c>
      <c r="B13" s="2"/>
      <c r="C13" s="4">
        <v>42891</v>
      </c>
      <c r="D13" s="4"/>
      <c r="E13" s="4">
        <v>42915</v>
      </c>
      <c r="F13" s="5"/>
      <c r="G13" s="49"/>
      <c r="H13" s="5">
        <v>6.83</v>
      </c>
      <c r="I13" s="102">
        <f>24/30*24</f>
        <v>19.200000000000003</v>
      </c>
      <c r="J13" s="5"/>
      <c r="K13" s="5"/>
      <c r="L13" s="6">
        <f>69+70</f>
        <v>139</v>
      </c>
      <c r="M13" s="61">
        <f>38+7+18</f>
        <v>63</v>
      </c>
      <c r="N13" s="6">
        <f t="shared" si="0"/>
        <v>53.199999999999996</v>
      </c>
    </row>
    <row r="14" spans="1:15">
      <c r="A14" s="2" t="s">
        <v>39</v>
      </c>
      <c r="B14" s="2"/>
      <c r="C14" s="4">
        <v>43081</v>
      </c>
      <c r="D14" s="4"/>
      <c r="E14" s="4">
        <v>43109</v>
      </c>
      <c r="F14" s="5"/>
      <c r="G14" s="49"/>
      <c r="H14" s="5">
        <v>9.83</v>
      </c>
      <c r="I14" s="102">
        <f>36/30*28</f>
        <v>33.6</v>
      </c>
      <c r="J14" s="5"/>
      <c r="K14" s="5"/>
      <c r="L14" s="6">
        <v>120</v>
      </c>
      <c r="M14" s="61">
        <v>36</v>
      </c>
      <c r="N14" s="6">
        <f t="shared" si="0"/>
        <v>58.8</v>
      </c>
    </row>
    <row r="15" spans="1:15">
      <c r="A15" s="22" t="s">
        <v>56</v>
      </c>
      <c r="B15" s="22"/>
      <c r="C15" s="4">
        <v>43361</v>
      </c>
      <c r="D15" s="4"/>
      <c r="E15" s="4">
        <v>43132</v>
      </c>
      <c r="F15" s="5"/>
      <c r="G15" s="49"/>
      <c r="H15" s="5">
        <v>14.11</v>
      </c>
      <c r="I15" s="102">
        <f>25*4+25/30*12</f>
        <v>110</v>
      </c>
      <c r="J15" s="5"/>
      <c r="K15" s="5"/>
      <c r="L15" s="6">
        <v>75</v>
      </c>
      <c r="M15" s="61">
        <v>25</v>
      </c>
      <c r="N15" s="6">
        <f t="shared" si="0"/>
        <v>35</v>
      </c>
    </row>
    <row r="16" spans="1:15">
      <c r="A16" s="2" t="s">
        <v>44</v>
      </c>
      <c r="B16" s="2"/>
      <c r="C16" s="4">
        <v>43196</v>
      </c>
      <c r="D16" s="4"/>
      <c r="E16" s="4">
        <v>43250</v>
      </c>
      <c r="F16" s="5"/>
      <c r="G16" s="49"/>
      <c r="H16" s="5">
        <v>13.78</v>
      </c>
      <c r="I16" s="102">
        <f>25*24/30+25</f>
        <v>45</v>
      </c>
      <c r="J16" s="5"/>
      <c r="K16" s="5"/>
      <c r="L16" s="6">
        <v>11</v>
      </c>
      <c r="M16" s="61">
        <v>25</v>
      </c>
      <c r="N16" s="6">
        <v>9.7999999999999989</v>
      </c>
    </row>
    <row r="17" spans="1:15">
      <c r="A17" s="22" t="s">
        <v>47</v>
      </c>
      <c r="B17" s="22"/>
      <c r="C17" s="4">
        <v>43355</v>
      </c>
      <c r="D17" s="4"/>
      <c r="E17" s="4">
        <v>43277</v>
      </c>
      <c r="F17" s="5"/>
      <c r="G17" s="49"/>
      <c r="H17" s="5">
        <v>19.98</v>
      </c>
      <c r="I17" s="102">
        <f>36*2+36/30*16</f>
        <v>91.2</v>
      </c>
      <c r="J17" s="5"/>
      <c r="K17" s="5"/>
      <c r="L17" s="6">
        <v>105</v>
      </c>
      <c r="M17" s="61">
        <v>36</v>
      </c>
      <c r="N17" s="6">
        <f t="shared" si="0"/>
        <v>48.3</v>
      </c>
    </row>
    <row r="18" spans="1:15">
      <c r="A18" s="22" t="s">
        <v>48</v>
      </c>
      <c r="B18" s="22"/>
      <c r="C18" s="4">
        <v>43367</v>
      </c>
      <c r="D18" s="4"/>
      <c r="E18" s="4">
        <v>43284</v>
      </c>
      <c r="F18" s="5"/>
      <c r="G18" s="49"/>
      <c r="H18" s="5">
        <v>9.1</v>
      </c>
      <c r="I18" s="102">
        <f>25+25/30*27</f>
        <v>47.5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45</v>
      </c>
      <c r="B19" s="2"/>
      <c r="C19" s="4"/>
      <c r="D19" s="4"/>
      <c r="E19" s="4">
        <v>43286</v>
      </c>
      <c r="F19" s="5"/>
      <c r="G19" s="49"/>
      <c r="H19" s="5">
        <v>11.56</v>
      </c>
      <c r="I19" s="102"/>
      <c r="J19" s="5"/>
      <c r="K19" s="5"/>
      <c r="L19" s="6">
        <v>150</v>
      </c>
      <c r="M19" s="61">
        <v>76</v>
      </c>
      <c r="N19" s="6">
        <f t="shared" si="0"/>
        <v>51.8</v>
      </c>
      <c r="O19" s="20"/>
    </row>
    <row r="20" spans="1:15">
      <c r="A20" s="22" t="s">
        <v>49</v>
      </c>
      <c r="B20" s="22"/>
      <c r="C20" s="4">
        <v>43367</v>
      </c>
      <c r="D20" s="4"/>
      <c r="E20" s="4">
        <v>43291</v>
      </c>
      <c r="F20" s="5"/>
      <c r="G20" s="49"/>
      <c r="H20" s="5">
        <v>10.039999999999999</v>
      </c>
      <c r="I20" s="102">
        <f>50+25/30*14</f>
        <v>61.666666666666671</v>
      </c>
      <c r="J20" s="5"/>
      <c r="K20" s="5"/>
      <c r="L20" s="6">
        <v>50</v>
      </c>
      <c r="M20" s="61">
        <v>22</v>
      </c>
      <c r="N20" s="18">
        <f t="shared" si="0"/>
        <v>19.599999999999998</v>
      </c>
    </row>
    <row r="21" spans="1:15">
      <c r="A21" s="22" t="s">
        <v>51</v>
      </c>
      <c r="B21" s="22"/>
      <c r="C21" s="4">
        <v>43358</v>
      </c>
      <c r="D21" s="4"/>
      <c r="E21" s="4">
        <v>43291</v>
      </c>
      <c r="F21" s="5"/>
      <c r="G21" s="49"/>
      <c r="H21" s="5">
        <v>10.039999999999999</v>
      </c>
      <c r="I21" s="102">
        <f>50+25/30*5</f>
        <v>54.166666666666664</v>
      </c>
      <c r="J21" s="5"/>
      <c r="K21" s="5"/>
      <c r="L21" s="6">
        <v>75</v>
      </c>
      <c r="M21" s="61">
        <v>25</v>
      </c>
      <c r="N21" s="6">
        <f t="shared" si="0"/>
        <v>35</v>
      </c>
    </row>
    <row r="22" spans="1:15">
      <c r="A22" s="22" t="s">
        <v>52</v>
      </c>
      <c r="B22" s="22"/>
      <c r="C22" s="4">
        <v>43367</v>
      </c>
      <c r="D22" s="4"/>
      <c r="E22" s="4">
        <v>43308</v>
      </c>
      <c r="F22" s="5"/>
      <c r="G22" s="49"/>
      <c r="H22" s="5">
        <v>10.86</v>
      </c>
      <c r="I22" s="102">
        <f>25+25/30*27</f>
        <v>47.5</v>
      </c>
      <c r="J22" s="5"/>
      <c r="K22" s="5"/>
      <c r="L22" s="6">
        <v>75</v>
      </c>
      <c r="M22" s="61">
        <v>25</v>
      </c>
      <c r="N22" s="27">
        <f t="shared" si="0"/>
        <v>35</v>
      </c>
    </row>
    <row r="23" spans="1:15">
      <c r="A23" s="22" t="s">
        <v>50</v>
      </c>
      <c r="B23" s="22"/>
      <c r="C23" s="4">
        <v>43367</v>
      </c>
      <c r="D23" s="4"/>
      <c r="E23" s="4">
        <v>43312</v>
      </c>
      <c r="F23" s="5"/>
      <c r="G23" s="49"/>
      <c r="H23" s="5">
        <v>10.86</v>
      </c>
      <c r="I23" s="102">
        <f>25+25/30*24</f>
        <v>45</v>
      </c>
      <c r="J23" s="5"/>
      <c r="K23" s="5"/>
      <c r="L23" s="6">
        <v>70</v>
      </c>
      <c r="M23" s="61">
        <v>25</v>
      </c>
      <c r="N23" s="6">
        <f t="shared" si="0"/>
        <v>31.499999999999996</v>
      </c>
    </row>
    <row r="24" spans="1:15">
      <c r="A24" s="22" t="s">
        <v>55</v>
      </c>
      <c r="B24" s="22"/>
      <c r="C24" s="4">
        <v>43363</v>
      </c>
      <c r="D24" s="4"/>
      <c r="E24" s="4">
        <v>43440</v>
      </c>
      <c r="F24" s="5"/>
      <c r="G24" s="49"/>
      <c r="H24" s="5">
        <v>14.11</v>
      </c>
      <c r="I24" s="102">
        <f>25*2+25*16/30</f>
        <v>63.333333333333336</v>
      </c>
      <c r="J24" s="5"/>
      <c r="K24" s="5"/>
      <c r="L24" s="6">
        <v>75</v>
      </c>
      <c r="M24" s="61">
        <v>25</v>
      </c>
      <c r="N24" s="6">
        <f t="shared" si="0"/>
        <v>35</v>
      </c>
    </row>
    <row r="25" spans="1:15">
      <c r="A25" s="22" t="s">
        <v>57</v>
      </c>
      <c r="B25" s="55"/>
      <c r="C25" s="31">
        <v>43478</v>
      </c>
      <c r="D25" s="31"/>
      <c r="E25" s="4">
        <v>43536</v>
      </c>
      <c r="F25" s="5"/>
      <c r="G25" s="49"/>
      <c r="H25" s="5">
        <v>10.86</v>
      </c>
      <c r="I25" s="102">
        <v>25</v>
      </c>
      <c r="J25" s="5"/>
      <c r="K25" s="5"/>
      <c r="L25" s="6">
        <v>70</v>
      </c>
      <c r="M25" s="61">
        <v>25</v>
      </c>
      <c r="N25" s="6">
        <f t="shared" si="0"/>
        <v>31.499999999999996</v>
      </c>
    </row>
    <row r="26" spans="1:15">
      <c r="A26" s="22" t="s">
        <v>59</v>
      </c>
      <c r="B26" s="22"/>
      <c r="C26" s="4">
        <v>43528</v>
      </c>
      <c r="D26" s="4"/>
      <c r="E26" s="4">
        <v>43538</v>
      </c>
      <c r="F26" s="5"/>
      <c r="G26" s="49"/>
      <c r="H26" s="5">
        <v>14.92</v>
      </c>
      <c r="I26" s="102">
        <f>77/30*10</f>
        <v>25.666666666666668</v>
      </c>
      <c r="J26" s="5"/>
      <c r="K26" s="5"/>
      <c r="L26" s="6">
        <v>169</v>
      </c>
      <c r="M26" s="61">
        <f>64+11+2</f>
        <v>77</v>
      </c>
      <c r="N26" s="6">
        <f t="shared" si="0"/>
        <v>64.399999999999991</v>
      </c>
    </row>
    <row r="27" spans="1:15">
      <c r="A27" s="22" t="s">
        <v>58</v>
      </c>
      <c r="B27" s="22"/>
      <c r="C27" s="4">
        <v>43534</v>
      </c>
      <c r="D27" s="4"/>
      <c r="E27" s="4">
        <v>43542</v>
      </c>
      <c r="F27" s="5"/>
      <c r="G27" s="49"/>
      <c r="H27" s="5">
        <f>10.86*2</f>
        <v>21.72</v>
      </c>
      <c r="I27" s="102">
        <v>0</v>
      </c>
      <c r="J27" s="5"/>
      <c r="K27" s="5"/>
      <c r="L27" s="6">
        <v>50</v>
      </c>
      <c r="M27" s="61">
        <v>7</v>
      </c>
      <c r="N27" s="6">
        <f>(L27-M27)*0.7</f>
        <v>30.099999999999998</v>
      </c>
    </row>
    <row r="28" spans="1:15">
      <c r="A28" s="22" t="s">
        <v>61</v>
      </c>
      <c r="B28" s="22"/>
      <c r="C28" s="4">
        <v>43482</v>
      </c>
      <c r="D28" s="4"/>
      <c r="E28" s="4">
        <v>43542</v>
      </c>
      <c r="F28" s="5"/>
      <c r="G28" s="49"/>
      <c r="H28" s="5">
        <v>11.1</v>
      </c>
      <c r="I28" s="102">
        <f>25*2</f>
        <v>50</v>
      </c>
      <c r="J28" s="5"/>
      <c r="K28" s="5"/>
      <c r="L28" s="6">
        <v>70</v>
      </c>
      <c r="M28" s="61">
        <v>26</v>
      </c>
      <c r="N28" s="6">
        <f t="shared" si="0"/>
        <v>30.799999999999997</v>
      </c>
    </row>
    <row r="29" spans="1:15">
      <c r="A29" s="22" t="s">
        <v>67</v>
      </c>
      <c r="B29" s="22"/>
      <c r="C29" s="4">
        <v>43600</v>
      </c>
      <c r="D29" s="4"/>
      <c r="E29" s="4">
        <v>43629</v>
      </c>
      <c r="F29" s="5"/>
      <c r="G29" s="49"/>
      <c r="H29" s="5">
        <f>10.86*2</f>
        <v>21.72</v>
      </c>
      <c r="I29" s="102">
        <f>22/30*58</f>
        <v>42.533333333333331</v>
      </c>
      <c r="J29" s="5">
        <v>50</v>
      </c>
      <c r="K29" s="5">
        <f>H29+I29+J29</f>
        <v>114.25333333333333</v>
      </c>
      <c r="L29" s="6">
        <v>60</v>
      </c>
      <c r="M29" s="61">
        <v>25</v>
      </c>
      <c r="N29" s="6">
        <v>0</v>
      </c>
    </row>
    <row r="30" spans="1:15">
      <c r="A30" s="22" t="s">
        <v>66</v>
      </c>
      <c r="B30" s="22"/>
      <c r="C30" s="4">
        <v>43600</v>
      </c>
      <c r="D30" s="4"/>
      <c r="E30" s="4">
        <v>43629</v>
      </c>
      <c r="F30" s="5"/>
      <c r="G30" s="49"/>
      <c r="H30" s="5">
        <f>10.86</f>
        <v>10.86</v>
      </c>
      <c r="I30" s="102">
        <f>39/30*58</f>
        <v>75.400000000000006</v>
      </c>
      <c r="J30" s="5"/>
      <c r="K30" s="5">
        <f>H30+I30</f>
        <v>86.26</v>
      </c>
      <c r="L30" s="6">
        <v>110</v>
      </c>
      <c r="M30" s="61">
        <f>25+11+3</f>
        <v>39</v>
      </c>
      <c r="N30" s="6">
        <v>0</v>
      </c>
      <c r="O30" t="s">
        <v>73</v>
      </c>
    </row>
    <row r="31" spans="1:15">
      <c r="A31" s="22" t="s">
        <v>64</v>
      </c>
      <c r="B31" s="22"/>
      <c r="C31" s="4">
        <v>43627</v>
      </c>
      <c r="D31" s="4"/>
      <c r="E31" s="4">
        <v>43629</v>
      </c>
      <c r="F31" s="5"/>
      <c r="G31" s="49"/>
      <c r="H31" s="5">
        <v>10.86</v>
      </c>
      <c r="I31" s="102">
        <f>25/30*2</f>
        <v>1.6666666666666667</v>
      </c>
      <c r="J31" s="5"/>
      <c r="K31" s="5">
        <f>H31+I31</f>
        <v>12.526666666666666</v>
      </c>
      <c r="L31" s="6">
        <v>200</v>
      </c>
      <c r="M31" s="61">
        <v>11</v>
      </c>
      <c r="N31" s="5">
        <f t="shared" ref="N31:N42" si="1">(L31-M31)*0.7</f>
        <v>132.29999999999998</v>
      </c>
    </row>
    <row r="32" spans="1:15">
      <c r="A32" s="22" t="s">
        <v>65</v>
      </c>
      <c r="B32" s="22"/>
      <c r="C32" s="4">
        <v>43622</v>
      </c>
      <c r="D32" s="4"/>
      <c r="E32" s="4">
        <v>43650</v>
      </c>
      <c r="F32" s="5"/>
      <c r="G32" s="49"/>
      <c r="H32" s="5">
        <v>10.86</v>
      </c>
      <c r="I32" s="102"/>
      <c r="J32" s="5"/>
      <c r="K32" s="5"/>
      <c r="L32" s="6">
        <v>120</v>
      </c>
      <c r="M32" s="61">
        <v>60</v>
      </c>
      <c r="N32" s="6">
        <f t="shared" si="1"/>
        <v>42</v>
      </c>
    </row>
    <row r="33" spans="1:16">
      <c r="A33" s="22" t="s">
        <v>71</v>
      </c>
      <c r="B33" s="22"/>
      <c r="C33" s="4">
        <v>43635</v>
      </c>
      <c r="D33" s="4"/>
      <c r="E33" s="4">
        <v>43662</v>
      </c>
      <c r="F33" s="5"/>
      <c r="G33" s="49"/>
      <c r="H33" s="5">
        <f>10.86*2</f>
        <v>21.72</v>
      </c>
      <c r="I33" s="102"/>
      <c r="J33" s="5"/>
      <c r="K33" s="5"/>
      <c r="L33" s="6">
        <v>70</v>
      </c>
      <c r="M33" s="61">
        <v>26</v>
      </c>
      <c r="N33" s="6">
        <f t="shared" si="1"/>
        <v>30.799999999999997</v>
      </c>
      <c r="O33" t="s">
        <v>72</v>
      </c>
    </row>
    <row r="34" spans="1:16">
      <c r="A34" s="2" t="s">
        <v>75</v>
      </c>
      <c r="B34" s="2"/>
      <c r="C34" s="4">
        <v>43656</v>
      </c>
      <c r="D34" s="4"/>
      <c r="E34" s="4">
        <v>43711</v>
      </c>
      <c r="F34" s="5"/>
      <c r="G34" s="49"/>
      <c r="H34" s="5">
        <v>10.86</v>
      </c>
      <c r="I34" s="102">
        <f>36/30*48</f>
        <v>57.599999999999994</v>
      </c>
      <c r="J34" s="5"/>
      <c r="K34" s="5"/>
      <c r="L34" s="6">
        <v>145</v>
      </c>
      <c r="M34" s="61">
        <f>36+18</f>
        <v>54</v>
      </c>
      <c r="N34" s="6">
        <f t="shared" si="1"/>
        <v>63.699999999999996</v>
      </c>
    </row>
    <row r="35" spans="1:16">
      <c r="A35" s="2" t="s">
        <v>76</v>
      </c>
      <c r="B35" s="2"/>
      <c r="C35" s="4">
        <v>43677</v>
      </c>
      <c r="D35" s="4"/>
      <c r="E35" s="4">
        <v>43713</v>
      </c>
      <c r="F35" s="5"/>
      <c r="G35" s="49"/>
      <c r="H35" s="5">
        <v>24.06</v>
      </c>
      <c r="I35" s="102">
        <f>80/30*35</f>
        <v>93.333333333333329</v>
      </c>
      <c r="J35" s="5">
        <v>40</v>
      </c>
      <c r="K35" s="5"/>
      <c r="L35" s="6">
        <v>149</v>
      </c>
      <c r="M35" s="61">
        <v>80</v>
      </c>
      <c r="N35" s="6">
        <f t="shared" si="1"/>
        <v>48.3</v>
      </c>
      <c r="O35" t="s">
        <v>79</v>
      </c>
    </row>
    <row r="36" spans="1:16">
      <c r="A36" s="10" t="s">
        <v>81</v>
      </c>
      <c r="B36" s="10"/>
      <c r="C36" s="11">
        <v>45444</v>
      </c>
      <c r="D36" s="11"/>
      <c r="E36" s="11">
        <v>45408</v>
      </c>
      <c r="F36" s="12"/>
      <c r="G36" s="12"/>
      <c r="H36" s="12"/>
      <c r="I36" s="106">
        <f>43/30*34</f>
        <v>48.733333333333334</v>
      </c>
      <c r="J36" s="12"/>
      <c r="K36" s="12"/>
      <c r="L36" s="12">
        <v>129</v>
      </c>
      <c r="M36" s="107">
        <v>61</v>
      </c>
      <c r="N36" s="12">
        <f t="shared" si="1"/>
        <v>47.599999999999994</v>
      </c>
    </row>
    <row r="37" spans="1:16">
      <c r="A37" s="22" t="s">
        <v>87</v>
      </c>
      <c r="B37" s="22"/>
      <c r="C37" s="35">
        <v>43878</v>
      </c>
      <c r="D37" s="35"/>
      <c r="E37" s="35">
        <v>43892</v>
      </c>
      <c r="F37" s="5"/>
      <c r="G37" s="49"/>
      <c r="H37" s="5">
        <v>12.19</v>
      </c>
      <c r="I37" s="102">
        <v>5.5</v>
      </c>
      <c r="J37" s="5"/>
      <c r="K37" s="5"/>
      <c r="L37" s="6">
        <v>25</v>
      </c>
      <c r="M37" s="61">
        <v>11</v>
      </c>
      <c r="N37" s="6">
        <f t="shared" si="1"/>
        <v>9.7999999999999989</v>
      </c>
    </row>
    <row r="38" spans="1:16">
      <c r="A38" s="22" t="s">
        <v>89</v>
      </c>
      <c r="B38" s="22"/>
      <c r="C38" s="35">
        <v>43908</v>
      </c>
      <c r="D38" s="35"/>
      <c r="E38" s="35">
        <v>43893</v>
      </c>
      <c r="F38" s="5"/>
      <c r="G38" s="49"/>
      <c r="H38" s="5">
        <v>9.6</v>
      </c>
      <c r="I38" s="102">
        <v>5.5</v>
      </c>
      <c r="J38" s="5"/>
      <c r="K38" s="5"/>
      <c r="L38" s="6">
        <v>25</v>
      </c>
      <c r="M38" s="61">
        <v>11</v>
      </c>
      <c r="N38" s="6">
        <f t="shared" si="1"/>
        <v>9.7999999999999989</v>
      </c>
    </row>
    <row r="39" spans="1:16">
      <c r="A39" s="22" t="s">
        <v>85</v>
      </c>
      <c r="B39" s="22"/>
      <c r="C39" s="35">
        <v>43881</v>
      </c>
      <c r="D39" s="35"/>
      <c r="E39" s="35">
        <v>43895</v>
      </c>
      <c r="F39" s="5"/>
      <c r="G39" s="49"/>
      <c r="H39" s="5">
        <v>9.14</v>
      </c>
      <c r="I39" s="102">
        <f>11/30*15</f>
        <v>5.5</v>
      </c>
      <c r="J39" s="5"/>
      <c r="K39" s="5"/>
      <c r="L39" s="6">
        <v>25</v>
      </c>
      <c r="M39" s="61">
        <v>11</v>
      </c>
      <c r="N39" s="6">
        <f t="shared" si="1"/>
        <v>9.7999999999999989</v>
      </c>
    </row>
    <row r="40" spans="1:16">
      <c r="A40" s="39" t="s">
        <v>82</v>
      </c>
      <c r="B40" s="28"/>
      <c r="C40" s="36">
        <v>40235</v>
      </c>
      <c r="D40" s="36"/>
      <c r="E40" s="36">
        <v>43901</v>
      </c>
      <c r="F40" s="5"/>
      <c r="G40" s="34"/>
      <c r="H40" s="37">
        <v>9.6</v>
      </c>
      <c r="I40" s="102">
        <f>11/2</f>
        <v>5.5</v>
      </c>
      <c r="J40" s="5"/>
      <c r="K40" s="5"/>
      <c r="L40" s="17">
        <v>25</v>
      </c>
      <c r="M40" s="63">
        <v>11</v>
      </c>
      <c r="N40" s="26">
        <f t="shared" si="1"/>
        <v>9.7999999999999989</v>
      </c>
    </row>
    <row r="41" spans="1:16">
      <c r="A41" s="22" t="s">
        <v>80</v>
      </c>
      <c r="B41" s="22"/>
      <c r="C41" s="35">
        <v>43873</v>
      </c>
      <c r="D41" s="35"/>
      <c r="E41" s="35">
        <v>43910</v>
      </c>
      <c r="F41" s="5"/>
      <c r="G41" s="49"/>
      <c r="H41" s="5">
        <v>21.84</v>
      </c>
      <c r="I41" s="102">
        <f>56/30*38</f>
        <v>70.933333333333337</v>
      </c>
      <c r="J41" s="5"/>
      <c r="K41" s="5"/>
      <c r="L41" s="6">
        <v>80</v>
      </c>
      <c r="M41" s="61">
        <v>47</v>
      </c>
      <c r="N41" s="6">
        <f t="shared" si="1"/>
        <v>23.099999999999998</v>
      </c>
    </row>
    <row r="42" spans="1:16">
      <c r="A42" s="22" t="s">
        <v>88</v>
      </c>
      <c r="B42" s="22"/>
      <c r="C42" s="35">
        <v>43855</v>
      </c>
      <c r="D42" s="35"/>
      <c r="E42" s="35">
        <v>43941</v>
      </c>
      <c r="F42" s="5"/>
      <c r="G42" s="49"/>
      <c r="H42" s="5">
        <v>13.93</v>
      </c>
      <c r="I42" s="102">
        <f>56/30*85</f>
        <v>158.66666666666666</v>
      </c>
      <c r="J42" s="5"/>
      <c r="K42" s="5"/>
      <c r="L42" s="6">
        <v>110</v>
      </c>
      <c r="M42" s="61">
        <v>56</v>
      </c>
      <c r="N42" s="6">
        <f t="shared" si="1"/>
        <v>37.799999999999997</v>
      </c>
    </row>
    <row r="43" spans="1:16">
      <c r="A43" s="22" t="s">
        <v>90</v>
      </c>
      <c r="B43" s="22"/>
      <c r="C43" s="35" t="s">
        <v>96</v>
      </c>
      <c r="D43" s="35"/>
      <c r="E43" s="35">
        <v>44015</v>
      </c>
      <c r="F43" s="5" t="s">
        <v>160</v>
      </c>
      <c r="G43" s="49">
        <v>12.5</v>
      </c>
      <c r="H43" s="5">
        <v>11.29</v>
      </c>
      <c r="I43" s="102">
        <f>100</f>
        <v>100</v>
      </c>
      <c r="J43" s="5"/>
      <c r="K43" s="5"/>
      <c r="L43" s="6">
        <v>105</v>
      </c>
      <c r="M43" s="61">
        <f>25+11+22</f>
        <v>58</v>
      </c>
      <c r="N43" s="6">
        <f>12.5+(92.5-M43)*0.7</f>
        <v>36.65</v>
      </c>
      <c r="P43" s="41"/>
    </row>
    <row r="44" spans="1:16">
      <c r="A44" s="22" t="s">
        <v>97</v>
      </c>
      <c r="B44" s="22"/>
      <c r="C44" s="35">
        <v>43990</v>
      </c>
      <c r="D44" s="35"/>
      <c r="E44" s="35">
        <v>44036</v>
      </c>
      <c r="F44" s="5"/>
      <c r="G44" s="49"/>
      <c r="H44" s="5">
        <v>8.75</v>
      </c>
      <c r="I44" s="102">
        <f>56/30*46</f>
        <v>85.866666666666674</v>
      </c>
      <c r="J44" s="5"/>
      <c r="K44" s="5"/>
      <c r="L44" s="6">
        <v>110</v>
      </c>
      <c r="M44" s="61">
        <f>45+11</f>
        <v>56</v>
      </c>
      <c r="N44" s="6">
        <f>(L44-M44)*0.7</f>
        <v>37.799999999999997</v>
      </c>
    </row>
    <row r="45" spans="1:16">
      <c r="A45" s="22" t="s">
        <v>95</v>
      </c>
      <c r="B45" s="22"/>
      <c r="C45" s="35">
        <v>44028</v>
      </c>
      <c r="D45" s="35"/>
      <c r="E45" s="35">
        <v>44040</v>
      </c>
      <c r="F45" s="5"/>
      <c r="G45" s="49"/>
      <c r="H45" s="5">
        <v>8.75</v>
      </c>
      <c r="I45" s="102">
        <f>41/30*12</f>
        <v>16.399999999999999</v>
      </c>
      <c r="J45" s="5"/>
      <c r="K45" s="5"/>
      <c r="L45" s="6">
        <v>60</v>
      </c>
      <c r="M45" s="61">
        <v>41</v>
      </c>
      <c r="N45" s="6">
        <f>(L45-M45)*0.7</f>
        <v>13.299999999999999</v>
      </c>
    </row>
    <row r="46" spans="1:16">
      <c r="A46" s="2" t="s">
        <v>102</v>
      </c>
      <c r="B46" s="2"/>
      <c r="C46" s="4" t="s">
        <v>103</v>
      </c>
      <c r="D46" s="4"/>
      <c r="E46" s="4">
        <v>44110</v>
      </c>
      <c r="F46" s="5" t="s">
        <v>160</v>
      </c>
      <c r="G46" s="49">
        <v>10</v>
      </c>
      <c r="H46" s="5">
        <v>36.65</v>
      </c>
      <c r="I46" s="102">
        <f>115/30*26</f>
        <v>99.666666666666671</v>
      </c>
      <c r="J46" s="5"/>
      <c r="K46" s="5"/>
      <c r="L46" s="6">
        <v>180</v>
      </c>
      <c r="M46" s="61">
        <v>115</v>
      </c>
      <c r="N46" s="6">
        <f>10+55*0.7</f>
        <v>48.5</v>
      </c>
      <c r="P46" s="41"/>
    </row>
    <row r="47" spans="1:16">
      <c r="A47" s="2" t="s">
        <v>94</v>
      </c>
      <c r="B47" s="2"/>
      <c r="C47" s="35">
        <v>44124</v>
      </c>
      <c r="D47" s="35"/>
      <c r="E47" s="35">
        <v>44124</v>
      </c>
      <c r="F47" s="5"/>
      <c r="G47" s="49"/>
      <c r="H47" s="5">
        <v>7.25</v>
      </c>
      <c r="I47" s="102">
        <v>0</v>
      </c>
      <c r="J47" s="5"/>
      <c r="K47" s="5"/>
      <c r="L47" s="6">
        <v>25</v>
      </c>
      <c r="M47" s="61">
        <v>11</v>
      </c>
      <c r="N47" s="6">
        <f>(L47-M47)*0.7</f>
        <v>9.7999999999999989</v>
      </c>
    </row>
    <row r="48" spans="1:16">
      <c r="A48" s="22" t="s">
        <v>104</v>
      </c>
      <c r="B48" s="22"/>
      <c r="C48" s="4">
        <v>44159</v>
      </c>
      <c r="D48" s="4"/>
      <c r="E48" s="4">
        <v>44187</v>
      </c>
      <c r="F48" s="40"/>
      <c r="G48" s="2"/>
      <c r="H48" s="5">
        <v>13.93</v>
      </c>
      <c r="I48" s="102">
        <f>36/30*28</f>
        <v>33.6</v>
      </c>
      <c r="J48" s="5"/>
      <c r="K48" s="5"/>
      <c r="L48" s="6">
        <v>110</v>
      </c>
      <c r="M48" s="61">
        <f>25+11</f>
        <v>36</v>
      </c>
      <c r="N48" s="6">
        <f>(L48-M48)*0.7</f>
        <v>51.8</v>
      </c>
    </row>
    <row r="49" spans="1:16">
      <c r="A49" s="22" t="s">
        <v>108</v>
      </c>
      <c r="B49" s="22"/>
      <c r="C49" s="4">
        <v>44185</v>
      </c>
      <c r="D49" s="4"/>
      <c r="E49" s="4">
        <v>44242</v>
      </c>
      <c r="F49" s="5" t="s">
        <v>160</v>
      </c>
      <c r="G49" s="49">
        <v>20</v>
      </c>
      <c r="H49" s="5">
        <v>26.48</v>
      </c>
      <c r="I49" s="102">
        <f>50/30*55</f>
        <v>91.666666666666671</v>
      </c>
      <c r="J49" s="5">
        <v>160</v>
      </c>
      <c r="K49" s="5"/>
      <c r="L49" s="6">
        <v>130</v>
      </c>
      <c r="M49" s="61">
        <v>34</v>
      </c>
      <c r="N49" s="5">
        <f>(20+(110-34)*0.7)</f>
        <v>73.199999999999989</v>
      </c>
      <c r="O49" s="1" t="s">
        <v>145</v>
      </c>
    </row>
    <row r="50" spans="1:16">
      <c r="A50" s="2" t="s">
        <v>113</v>
      </c>
      <c r="B50" s="2"/>
      <c r="C50" s="4">
        <v>44245</v>
      </c>
      <c r="D50" s="4"/>
      <c r="E50" s="4">
        <v>44271</v>
      </c>
      <c r="F50" s="5" t="s">
        <v>160</v>
      </c>
      <c r="G50" s="49">
        <v>15</v>
      </c>
      <c r="H50" s="5">
        <v>26.76</v>
      </c>
      <c r="I50" s="102">
        <f>67/30*28</f>
        <v>62.533333333333331</v>
      </c>
      <c r="J50" s="5"/>
      <c r="K50" s="5"/>
      <c r="L50" s="6">
        <v>140</v>
      </c>
      <c r="M50" s="61">
        <v>67</v>
      </c>
      <c r="N50" s="6">
        <f>(15+0.7*58)</f>
        <v>55.599999999999994</v>
      </c>
    </row>
    <row r="51" spans="1:16">
      <c r="A51" s="2" t="s">
        <v>112</v>
      </c>
      <c r="B51" s="2"/>
      <c r="C51" s="4">
        <v>44270</v>
      </c>
      <c r="D51" s="4"/>
      <c r="E51" s="4">
        <v>44286</v>
      </c>
      <c r="F51" s="5" t="s">
        <v>160</v>
      </c>
      <c r="G51" s="49">
        <v>17.5</v>
      </c>
      <c r="H51" s="5">
        <v>31.96</v>
      </c>
      <c r="I51" s="102">
        <f>55/30*16</f>
        <v>29.333333333333332</v>
      </c>
      <c r="J51" s="5">
        <v>75</v>
      </c>
      <c r="K51" s="5"/>
      <c r="L51" s="6">
        <v>100</v>
      </c>
      <c r="M51" s="61">
        <v>55</v>
      </c>
      <c r="N51" s="6">
        <f>(17.5+27.5*0.7)</f>
        <v>36.75</v>
      </c>
    </row>
    <row r="52" spans="1:16">
      <c r="A52" s="22" t="s">
        <v>121</v>
      </c>
      <c r="B52" s="22"/>
      <c r="C52" s="4">
        <v>44316</v>
      </c>
      <c r="D52" s="4"/>
      <c r="E52" s="4">
        <v>44354</v>
      </c>
      <c r="F52" s="40"/>
      <c r="G52" s="2"/>
      <c r="H52" s="5">
        <v>15.15</v>
      </c>
      <c r="I52" s="102">
        <f>36/30*37</f>
        <v>44.4</v>
      </c>
      <c r="J52" s="5"/>
      <c r="K52" s="5"/>
      <c r="L52" s="6">
        <v>110</v>
      </c>
      <c r="M52" s="61">
        <v>36</v>
      </c>
      <c r="N52" s="5">
        <f>(L52-M52)*0.7</f>
        <v>51.8</v>
      </c>
      <c r="O52" s="1" t="s">
        <v>145</v>
      </c>
    </row>
    <row r="53" spans="1:16">
      <c r="A53" s="22" t="s">
        <v>533</v>
      </c>
      <c r="B53" s="22"/>
      <c r="C53" s="4">
        <v>44336</v>
      </c>
      <c r="D53" s="4"/>
      <c r="E53" s="4">
        <v>44370</v>
      </c>
      <c r="F53" s="5" t="s">
        <v>161</v>
      </c>
      <c r="G53" s="49">
        <v>17.5</v>
      </c>
      <c r="H53" s="5">
        <v>35.78</v>
      </c>
      <c r="I53" s="102">
        <f>58/30*33</f>
        <v>63.8</v>
      </c>
      <c r="J53" s="5">
        <v>50</v>
      </c>
      <c r="K53" s="5"/>
      <c r="L53" s="6">
        <v>120</v>
      </c>
      <c r="M53" s="61">
        <v>15</v>
      </c>
      <c r="N53" s="6">
        <f>(L53-M53)*0.7</f>
        <v>73.5</v>
      </c>
    </row>
    <row r="54" spans="1:16">
      <c r="A54" s="44" t="s">
        <v>125</v>
      </c>
      <c r="B54" s="44"/>
      <c r="C54" s="4">
        <v>44342</v>
      </c>
      <c r="D54" s="4"/>
      <c r="E54" s="4">
        <v>44386</v>
      </c>
      <c r="F54" s="5" t="s">
        <v>160</v>
      </c>
      <c r="G54" s="49">
        <v>12.5</v>
      </c>
      <c r="H54" s="5">
        <v>15.46</v>
      </c>
      <c r="I54" s="102">
        <f>36/30*43</f>
        <v>51.6</v>
      </c>
      <c r="J54" s="5">
        <f>50+45</f>
        <v>95</v>
      </c>
      <c r="K54" s="5"/>
      <c r="L54" s="6">
        <v>80</v>
      </c>
      <c r="M54" s="61">
        <v>33</v>
      </c>
      <c r="N54" s="6">
        <f>12.5+(L54-M54-12.5)*0.7</f>
        <v>36.65</v>
      </c>
    </row>
    <row r="55" spans="1:16">
      <c r="A55" s="44" t="s">
        <v>132</v>
      </c>
      <c r="B55" s="44"/>
      <c r="C55" s="4">
        <v>44407</v>
      </c>
      <c r="D55" s="4"/>
      <c r="E55" s="4">
        <v>44461</v>
      </c>
      <c r="F55" s="40"/>
      <c r="G55" s="2"/>
      <c r="H55" s="5">
        <v>9.8800000000000008</v>
      </c>
      <c r="I55" s="102">
        <f>25/30*52</f>
        <v>43.333333333333336</v>
      </c>
      <c r="J55" s="5"/>
      <c r="K55" s="5"/>
      <c r="L55" s="6">
        <v>40</v>
      </c>
      <c r="M55" s="61">
        <v>25</v>
      </c>
      <c r="N55" s="6">
        <f>(L55-M55)*0.7</f>
        <v>10.5</v>
      </c>
    </row>
    <row r="56" spans="1:16">
      <c r="A56" s="52" t="s">
        <v>141</v>
      </c>
      <c r="B56" s="52"/>
      <c r="C56" s="57">
        <v>44459</v>
      </c>
      <c r="D56" s="57"/>
      <c r="E56" s="57">
        <v>44481</v>
      </c>
      <c r="F56" s="10" t="s">
        <v>161</v>
      </c>
      <c r="G56" s="12">
        <v>10</v>
      </c>
      <c r="H56" s="25">
        <v>15.15</v>
      </c>
      <c r="I56" s="103">
        <f>46/30*22</f>
        <v>33.733333333333334</v>
      </c>
      <c r="J56" s="25">
        <v>80</v>
      </c>
      <c r="K56" s="25"/>
      <c r="L56" s="27">
        <v>120</v>
      </c>
      <c r="M56" s="64">
        <v>46</v>
      </c>
      <c r="N56" s="27">
        <f>10+(120-56)*0.7</f>
        <v>54.8</v>
      </c>
    </row>
    <row r="57" spans="1:16">
      <c r="A57" s="52" t="s">
        <v>140</v>
      </c>
      <c r="B57" s="52"/>
      <c r="C57" s="57">
        <v>44449</v>
      </c>
      <c r="D57" s="57"/>
      <c r="E57" s="57">
        <v>44482</v>
      </c>
      <c r="F57" s="25" t="s">
        <v>160</v>
      </c>
      <c r="G57" s="58">
        <v>10</v>
      </c>
      <c r="H57" s="25">
        <v>13.4</v>
      </c>
      <c r="I57" s="103">
        <f>60/30*33</f>
        <v>66</v>
      </c>
      <c r="J57" s="25">
        <v>80</v>
      </c>
      <c r="K57" s="25"/>
      <c r="L57" s="27">
        <v>120</v>
      </c>
      <c r="M57" s="64">
        <v>61</v>
      </c>
      <c r="N57" s="27">
        <f>(10+49*0.7)</f>
        <v>44.3</v>
      </c>
    </row>
    <row r="58" spans="1:16">
      <c r="A58" s="44" t="s">
        <v>137</v>
      </c>
      <c r="B58" s="44"/>
      <c r="C58" s="35">
        <v>44474</v>
      </c>
      <c r="D58" s="35"/>
      <c r="E58" s="35">
        <v>44487</v>
      </c>
      <c r="F58" s="10" t="s">
        <v>161</v>
      </c>
      <c r="G58" s="12">
        <v>12.5</v>
      </c>
      <c r="H58" s="5">
        <v>15.15</v>
      </c>
      <c r="I58" s="102">
        <f>71/30*13</f>
        <v>30.766666666666666</v>
      </c>
      <c r="J58" s="5">
        <v>95</v>
      </c>
      <c r="K58" s="5"/>
      <c r="L58" s="6">
        <v>140</v>
      </c>
      <c r="M58" s="61">
        <v>71</v>
      </c>
      <c r="N58" s="6">
        <f>12.5+(56.5)*0.7</f>
        <v>52.05</v>
      </c>
    </row>
    <row r="59" spans="1:16">
      <c r="A59" s="44" t="s">
        <v>139</v>
      </c>
      <c r="B59" s="44"/>
      <c r="C59" s="35">
        <v>44492</v>
      </c>
      <c r="D59" s="35"/>
      <c r="E59" s="35">
        <v>44539</v>
      </c>
      <c r="F59" s="40"/>
      <c r="G59" s="49"/>
      <c r="H59" s="5">
        <v>16.350000000000001</v>
      </c>
      <c r="I59" s="102">
        <f>71/30*46</f>
        <v>108.86666666666667</v>
      </c>
      <c r="J59" s="5">
        <v>95</v>
      </c>
      <c r="K59" s="5"/>
      <c r="L59" s="6">
        <v>140</v>
      </c>
      <c r="M59" s="61">
        <v>71</v>
      </c>
      <c r="N59" s="12">
        <f>(140-71)*0.7</f>
        <v>48.3</v>
      </c>
      <c r="O59" s="72" t="s">
        <v>329</v>
      </c>
      <c r="P59" s="72">
        <v>33.81</v>
      </c>
    </row>
    <row r="60" spans="1:16">
      <c r="A60" s="44" t="s">
        <v>144</v>
      </c>
      <c r="B60" s="44"/>
      <c r="C60" s="35">
        <v>44526</v>
      </c>
      <c r="D60" s="35"/>
      <c r="E60" s="35">
        <v>44550</v>
      </c>
      <c r="F60" s="5" t="s">
        <v>160</v>
      </c>
      <c r="G60" s="49">
        <v>12.5</v>
      </c>
      <c r="H60" s="5">
        <v>13.4</v>
      </c>
      <c r="I60" s="102">
        <f>83/30*24</f>
        <v>66.400000000000006</v>
      </c>
      <c r="J60" s="5"/>
      <c r="K60" s="5"/>
      <c r="L60" s="6">
        <v>140</v>
      </c>
      <c r="M60" s="61">
        <v>94</v>
      </c>
      <c r="N60" s="6">
        <f>12.5+(140-12.5-94)*0.7</f>
        <v>35.950000000000003</v>
      </c>
    </row>
    <row r="61" spans="1:16">
      <c r="A61" s="44" t="s">
        <v>149</v>
      </c>
      <c r="B61" s="44"/>
      <c r="C61" s="35">
        <v>44880</v>
      </c>
      <c r="D61" s="35"/>
      <c r="E61" s="35">
        <v>44575</v>
      </c>
      <c r="F61" s="40"/>
      <c r="G61" s="49"/>
      <c r="H61" s="5">
        <v>13.4</v>
      </c>
      <c r="I61" s="102"/>
      <c r="J61" s="5">
        <v>50</v>
      </c>
      <c r="K61" s="5"/>
      <c r="L61" s="6">
        <v>160</v>
      </c>
      <c r="M61" s="61">
        <f>71+9</f>
        <v>80</v>
      </c>
      <c r="N61" s="6">
        <f>(160-80)*0.7</f>
        <v>56</v>
      </c>
    </row>
    <row r="62" spans="1:16">
      <c r="A62" s="44" t="s">
        <v>146</v>
      </c>
      <c r="B62" s="44"/>
      <c r="C62" s="4">
        <v>44586</v>
      </c>
      <c r="D62" s="4"/>
      <c r="E62" s="4">
        <v>44615</v>
      </c>
      <c r="F62" s="10" t="s">
        <v>161</v>
      </c>
      <c r="G62" s="12">
        <v>12.5</v>
      </c>
      <c r="H62" s="5">
        <v>15.46</v>
      </c>
      <c r="I62" s="102">
        <f>27/30*28</f>
        <v>25.2</v>
      </c>
      <c r="J62" s="5">
        <v>110</v>
      </c>
      <c r="K62" s="5"/>
      <c r="L62" s="6">
        <v>154</v>
      </c>
      <c r="M62" s="61">
        <v>72</v>
      </c>
      <c r="N62" s="6">
        <f>12.5+(154-12.5-62)*0.7</f>
        <v>68.150000000000006</v>
      </c>
    </row>
    <row r="63" spans="1:16">
      <c r="A63" s="44" t="s">
        <v>153</v>
      </c>
      <c r="B63" s="44"/>
      <c r="C63" s="4">
        <v>44623</v>
      </c>
      <c r="D63" s="4"/>
      <c r="E63" s="4">
        <v>44623</v>
      </c>
      <c r="F63" s="40"/>
      <c r="G63" s="40"/>
      <c r="H63" s="5">
        <v>11.03</v>
      </c>
      <c r="I63" s="102">
        <v>0</v>
      </c>
      <c r="J63" s="5">
        <v>15</v>
      </c>
      <c r="K63" s="5"/>
      <c r="L63" s="6">
        <v>30</v>
      </c>
      <c r="M63" s="61">
        <v>12</v>
      </c>
      <c r="N63" s="6">
        <f>(L63-M63)*0.7</f>
        <v>12.6</v>
      </c>
    </row>
    <row r="64" spans="1:16">
      <c r="A64" s="44" t="s">
        <v>157</v>
      </c>
      <c r="B64" s="44"/>
      <c r="C64" s="4">
        <v>44627</v>
      </c>
      <c r="D64" s="4"/>
      <c r="E64" s="4">
        <v>44627</v>
      </c>
      <c r="F64" s="10" t="s">
        <v>161</v>
      </c>
      <c r="G64" s="12">
        <v>10</v>
      </c>
      <c r="H64" s="5">
        <v>15.46</v>
      </c>
      <c r="I64" s="102">
        <v>0</v>
      </c>
      <c r="J64" s="5">
        <v>0</v>
      </c>
      <c r="K64" s="5"/>
      <c r="L64" s="6">
        <v>100</v>
      </c>
      <c r="M64" s="61">
        <v>44</v>
      </c>
      <c r="N64" s="6">
        <f>10+(46)*0.7</f>
        <v>42.199999999999996</v>
      </c>
    </row>
    <row r="65" spans="1:14">
      <c r="A65" s="44" t="s">
        <v>171</v>
      </c>
      <c r="B65" s="44"/>
      <c r="C65" s="4">
        <v>44648</v>
      </c>
      <c r="D65" s="4"/>
      <c r="E65" s="4">
        <v>44734</v>
      </c>
      <c r="F65" s="40"/>
      <c r="G65" s="5"/>
      <c r="H65" s="5">
        <v>13.72</v>
      </c>
      <c r="I65" s="102">
        <f>56/30*84</f>
        <v>156.80000000000001</v>
      </c>
      <c r="J65" s="5">
        <v>95</v>
      </c>
      <c r="K65" s="5"/>
      <c r="L65" s="6">
        <v>140</v>
      </c>
      <c r="M65" s="61">
        <v>56</v>
      </c>
      <c r="N65" s="6">
        <f>(140-56)*0.7</f>
        <v>58.8</v>
      </c>
    </row>
    <row r="66" spans="1:14">
      <c r="A66" s="44" t="s">
        <v>172</v>
      </c>
      <c r="B66" s="44"/>
      <c r="C66" s="4">
        <v>44705</v>
      </c>
      <c r="D66" s="4"/>
      <c r="E66" s="4">
        <v>44715</v>
      </c>
      <c r="F66" s="40"/>
      <c r="G66" s="5"/>
      <c r="H66" s="5">
        <v>10.039999999999999</v>
      </c>
      <c r="I66" s="102">
        <f>25/30*9</f>
        <v>7.5</v>
      </c>
      <c r="J66" s="5"/>
      <c r="K66" s="5"/>
      <c r="L66" s="6">
        <v>50</v>
      </c>
      <c r="M66" s="61">
        <v>25</v>
      </c>
      <c r="N66" s="6">
        <f>(50-25)*0.7</f>
        <v>17.5</v>
      </c>
    </row>
    <row r="67" spans="1:14">
      <c r="A67" s="44" t="s">
        <v>173</v>
      </c>
      <c r="B67" s="44"/>
      <c r="C67" s="4">
        <v>44704</v>
      </c>
      <c r="D67" s="4"/>
      <c r="E67" s="4">
        <v>44721</v>
      </c>
      <c r="F67" s="10" t="s">
        <v>161</v>
      </c>
      <c r="G67" s="56">
        <v>12.5</v>
      </c>
      <c r="H67" s="5">
        <v>13.72</v>
      </c>
      <c r="I67" s="102">
        <f>37/30*16</f>
        <v>19.733333333333334</v>
      </c>
      <c r="J67" s="5">
        <f>50+45</f>
        <v>95</v>
      </c>
      <c r="K67" s="5"/>
      <c r="L67" s="6">
        <v>129</v>
      </c>
      <c r="M67" s="61">
        <v>54.5</v>
      </c>
      <c r="N67" s="56">
        <f>12.5+(116.5-54.5)*0.7</f>
        <v>55.9</v>
      </c>
    </row>
    <row r="68" spans="1:14">
      <c r="A68" s="44" t="s">
        <v>174</v>
      </c>
      <c r="B68" s="44"/>
      <c r="C68" s="4">
        <v>44715</v>
      </c>
      <c r="D68" s="4"/>
      <c r="E68" s="4">
        <v>44820</v>
      </c>
      <c r="F68" s="10" t="s">
        <v>161</v>
      </c>
      <c r="G68" s="56">
        <v>15</v>
      </c>
      <c r="H68" s="5">
        <v>14.6</v>
      </c>
      <c r="I68" s="102">
        <f>56/30*103</f>
        <v>192.26666666666668</v>
      </c>
      <c r="J68" s="5">
        <v>50</v>
      </c>
      <c r="K68" s="5"/>
      <c r="L68" s="6">
        <f>130</f>
        <v>130</v>
      </c>
      <c r="M68" s="61">
        <v>56</v>
      </c>
      <c r="N68" s="56">
        <f>15+(115-56)*0.7</f>
        <v>56.3</v>
      </c>
    </row>
    <row r="69" spans="1:14">
      <c r="A69" s="44" t="s">
        <v>183</v>
      </c>
      <c r="B69" s="44"/>
      <c r="C69" s="4">
        <v>44749</v>
      </c>
      <c r="D69" s="4">
        <v>44830</v>
      </c>
      <c r="E69" s="4">
        <v>44858</v>
      </c>
      <c r="F69" s="40"/>
      <c r="G69" s="5"/>
      <c r="H69" s="5">
        <v>11.03</v>
      </c>
      <c r="I69" s="102">
        <v>25</v>
      </c>
      <c r="J69" s="5">
        <v>15</v>
      </c>
      <c r="K69" s="5"/>
      <c r="L69" s="6">
        <v>80</v>
      </c>
      <c r="M69" s="61">
        <v>25</v>
      </c>
      <c r="N69" s="6">
        <f>55*0.7</f>
        <v>38.5</v>
      </c>
    </row>
    <row r="70" spans="1:14">
      <c r="A70" s="44" t="s">
        <v>185</v>
      </c>
      <c r="B70" s="44"/>
      <c r="C70" s="4">
        <v>44830</v>
      </c>
      <c r="D70" s="4">
        <v>44852</v>
      </c>
      <c r="E70" s="4">
        <v>44858</v>
      </c>
      <c r="F70" s="10" t="s">
        <v>161</v>
      </c>
      <c r="G70" s="12">
        <v>15</v>
      </c>
      <c r="H70" s="5">
        <v>23.38</v>
      </c>
      <c r="I70" s="102">
        <f>54.5/30*6</f>
        <v>10.9</v>
      </c>
      <c r="J70" s="5">
        <v>95</v>
      </c>
      <c r="K70" s="5"/>
      <c r="L70" s="6">
        <v>160</v>
      </c>
      <c r="M70" s="61">
        <v>64.5</v>
      </c>
      <c r="N70" s="6">
        <f>15+(145-64.5)*0.7</f>
        <v>71.349999999999994</v>
      </c>
    </row>
    <row r="71" spans="1:14">
      <c r="A71" s="44" t="s">
        <v>190</v>
      </c>
      <c r="B71" s="44"/>
      <c r="C71" s="4"/>
      <c r="D71" s="4">
        <v>44879</v>
      </c>
      <c r="E71" s="35">
        <v>44887</v>
      </c>
      <c r="F71" s="44" t="s">
        <v>161</v>
      </c>
      <c r="G71" s="56">
        <v>10</v>
      </c>
      <c r="H71" s="5">
        <v>14.6</v>
      </c>
      <c r="I71" s="102">
        <f>34/30*8</f>
        <v>9.0666666666666664</v>
      </c>
      <c r="J71" s="5">
        <v>45</v>
      </c>
      <c r="K71" s="5"/>
      <c r="L71" s="6">
        <v>75</v>
      </c>
      <c r="M71" s="61">
        <v>34</v>
      </c>
      <c r="N71" s="56">
        <f>10+(80-34)*0.7</f>
        <v>42.199999999999996</v>
      </c>
    </row>
    <row r="72" spans="1:14">
      <c r="A72" s="44" t="s">
        <v>213</v>
      </c>
      <c r="B72" s="44"/>
      <c r="C72" s="4">
        <v>44894</v>
      </c>
      <c r="D72" s="4">
        <v>44908</v>
      </c>
      <c r="E72" s="35">
        <v>44944</v>
      </c>
      <c r="F72" s="40" t="s">
        <v>161</v>
      </c>
      <c r="G72" s="5">
        <v>15</v>
      </c>
      <c r="H72" s="5">
        <v>31.72</v>
      </c>
      <c r="I72" s="102">
        <f>50/30*35</f>
        <v>58.333333333333336</v>
      </c>
      <c r="J72" s="5">
        <f>60+50</f>
        <v>110</v>
      </c>
      <c r="K72" s="5"/>
      <c r="L72" s="6">
        <v>119</v>
      </c>
      <c r="M72" s="61">
        <v>54</v>
      </c>
      <c r="N72" s="94">
        <f>15+(L72-M72-15)*0.7</f>
        <v>50</v>
      </c>
    </row>
    <row r="73" spans="1:14">
      <c r="A73" s="44" t="s">
        <v>227</v>
      </c>
      <c r="B73" s="44"/>
      <c r="C73" s="4">
        <v>44949</v>
      </c>
      <c r="D73" s="4">
        <v>44953</v>
      </c>
      <c r="E73" s="35">
        <v>44966</v>
      </c>
      <c r="F73" s="40" t="s">
        <v>160</v>
      </c>
      <c r="G73" s="5">
        <v>15</v>
      </c>
      <c r="H73" s="5">
        <v>16.38</v>
      </c>
      <c r="I73" s="102">
        <f>61.5/30*12</f>
        <v>24.599999999999998</v>
      </c>
      <c r="J73" s="5">
        <f>50+60</f>
        <v>110</v>
      </c>
      <c r="K73" s="5"/>
      <c r="L73" s="6">
        <v>160</v>
      </c>
      <c r="M73" s="65">
        <f>32.5+7+22</f>
        <v>61.5</v>
      </c>
      <c r="N73" s="59">
        <f>15+(L73-M73-15)*0.7</f>
        <v>73.449999999999989</v>
      </c>
    </row>
    <row r="74" spans="1:14">
      <c r="A74" s="44" t="s">
        <v>228</v>
      </c>
      <c r="B74" s="44"/>
      <c r="C74" s="4">
        <v>44957</v>
      </c>
      <c r="D74" s="4">
        <v>44957</v>
      </c>
      <c r="E74" s="35">
        <v>44977</v>
      </c>
      <c r="F74" s="40"/>
      <c r="G74" s="5"/>
      <c r="H74" s="5">
        <v>20.61</v>
      </c>
      <c r="I74" s="102">
        <f>66/30*20</f>
        <v>44</v>
      </c>
      <c r="J74" s="5">
        <v>90</v>
      </c>
      <c r="K74" s="5"/>
      <c r="L74" s="6">
        <v>155</v>
      </c>
      <c r="M74" s="65">
        <v>54</v>
      </c>
      <c r="N74" s="59">
        <f>(L74-M74)*0.7</f>
        <v>70.699999999999989</v>
      </c>
    </row>
    <row r="75" spans="1:14">
      <c r="A75" s="44" t="s">
        <v>255</v>
      </c>
      <c r="B75" s="44"/>
      <c r="C75" s="35">
        <v>44691</v>
      </c>
      <c r="D75" s="35">
        <v>44994</v>
      </c>
      <c r="E75" s="4">
        <v>44994</v>
      </c>
      <c r="F75" s="40"/>
      <c r="G75" s="40"/>
      <c r="H75" s="5">
        <v>11.03</v>
      </c>
      <c r="I75" s="102">
        <f>25*14</f>
        <v>350</v>
      </c>
      <c r="J75" s="40">
        <f>30+50</f>
        <v>80</v>
      </c>
      <c r="K75" s="40"/>
      <c r="L75" s="6">
        <v>109</v>
      </c>
      <c r="M75" s="6">
        <f>38+7</f>
        <v>45</v>
      </c>
      <c r="N75" s="59">
        <f>(L75-M75)*0.7</f>
        <v>44.8</v>
      </c>
    </row>
    <row r="76" spans="1:14">
      <c r="A76" s="44" t="s">
        <v>187</v>
      </c>
      <c r="B76" s="44"/>
      <c r="C76" s="35"/>
      <c r="D76" s="35">
        <v>44991</v>
      </c>
      <c r="E76" s="4">
        <v>44991</v>
      </c>
      <c r="F76" s="40"/>
      <c r="G76" s="40"/>
      <c r="H76" s="5">
        <v>13.31</v>
      </c>
      <c r="I76" s="102"/>
      <c r="J76" s="40">
        <v>45</v>
      </c>
      <c r="K76" s="40"/>
      <c r="L76" s="6">
        <v>80</v>
      </c>
      <c r="M76" s="6">
        <v>27</v>
      </c>
      <c r="N76" s="59">
        <f>(L76-M76)*0.7</f>
        <v>37.099999999999994</v>
      </c>
    </row>
    <row r="77" spans="1:14">
      <c r="A77" s="76" t="s">
        <v>276</v>
      </c>
      <c r="B77" s="44"/>
      <c r="C77" s="35">
        <v>45061</v>
      </c>
      <c r="D77" s="35">
        <v>45070</v>
      </c>
      <c r="E77" s="4"/>
      <c r="F77" s="40"/>
      <c r="G77" s="40"/>
      <c r="H77" s="5">
        <v>11.48</v>
      </c>
      <c r="I77" s="102">
        <f>21/30*9</f>
        <v>6.3</v>
      </c>
      <c r="J77" s="40"/>
      <c r="K77" s="40"/>
      <c r="L77" s="17">
        <f>50</f>
        <v>50</v>
      </c>
      <c r="M77" s="18">
        <v>21</v>
      </c>
      <c r="N77" s="70">
        <f>(50-21)*0.7</f>
        <v>20.299999999999997</v>
      </c>
    </row>
    <row r="78" spans="1:14">
      <c r="A78" s="76" t="s">
        <v>279</v>
      </c>
      <c r="B78" s="44"/>
      <c r="C78" s="35">
        <v>45065</v>
      </c>
      <c r="D78" s="35">
        <v>45070</v>
      </c>
      <c r="E78" s="4"/>
      <c r="F78" s="40"/>
      <c r="G78" s="40"/>
      <c r="H78" s="5">
        <v>11.48</v>
      </c>
      <c r="I78" s="102">
        <f>21/30*5</f>
        <v>3.5</v>
      </c>
      <c r="J78" s="40"/>
      <c r="K78" s="40"/>
      <c r="L78" s="17">
        <f>50</f>
        <v>50</v>
      </c>
      <c r="M78" s="18">
        <v>21</v>
      </c>
      <c r="N78" s="70">
        <f>(50-21)*0.7</f>
        <v>20.299999999999997</v>
      </c>
    </row>
    <row r="79" spans="1:14">
      <c r="A79" s="76" t="s">
        <v>278</v>
      </c>
      <c r="B79" s="52"/>
      <c r="C79" s="57">
        <v>44973</v>
      </c>
      <c r="D79" s="57">
        <v>45070</v>
      </c>
      <c r="E79" s="24"/>
      <c r="F79" s="48"/>
      <c r="G79" s="48"/>
      <c r="H79" s="25">
        <v>11.48</v>
      </c>
      <c r="I79" s="103">
        <f>21/30*98</f>
        <v>68.599999999999994</v>
      </c>
      <c r="J79" s="48"/>
      <c r="K79" s="48"/>
      <c r="L79" s="17">
        <v>50</v>
      </c>
      <c r="M79" s="26">
        <v>21</v>
      </c>
      <c r="N79" s="85">
        <f>(50-21)*0.7</f>
        <v>20.299999999999997</v>
      </c>
    </row>
    <row r="80" spans="1:14">
      <c r="A80" s="44" t="s">
        <v>289</v>
      </c>
      <c r="B80" s="44"/>
      <c r="C80" s="35">
        <v>45110</v>
      </c>
      <c r="D80" s="35">
        <v>45127</v>
      </c>
      <c r="E80" s="4">
        <v>45110</v>
      </c>
      <c r="F80" s="40"/>
      <c r="G80" s="40"/>
      <c r="H80" s="5">
        <v>13.31</v>
      </c>
      <c r="I80" s="102">
        <f>27/30*17</f>
        <v>15.3</v>
      </c>
      <c r="J80" s="40">
        <v>45</v>
      </c>
      <c r="K80" s="40"/>
      <c r="L80" s="6">
        <v>75</v>
      </c>
      <c r="M80" s="6">
        <v>27</v>
      </c>
      <c r="N80" s="59">
        <f>(L80-M80)*0.7</f>
        <v>33.599999999999994</v>
      </c>
    </row>
    <row r="81" spans="1:16">
      <c r="A81" s="44" t="s">
        <v>292</v>
      </c>
      <c r="B81" s="44"/>
      <c r="C81" s="35">
        <v>45138</v>
      </c>
      <c r="D81" s="35">
        <v>45139</v>
      </c>
      <c r="E81" s="35">
        <v>45162</v>
      </c>
      <c r="F81" s="40"/>
      <c r="G81" s="40"/>
      <c r="H81" s="5">
        <v>12.48</v>
      </c>
      <c r="I81" s="102">
        <f>27/30*23</f>
        <v>20.7</v>
      </c>
      <c r="J81" s="40">
        <v>45</v>
      </c>
      <c r="K81" s="40"/>
      <c r="L81" s="6">
        <v>90</v>
      </c>
      <c r="M81" s="6">
        <v>27</v>
      </c>
      <c r="N81" s="59">
        <f>(L81-M81)*0.7</f>
        <v>44.099999999999994</v>
      </c>
    </row>
    <row r="82" spans="1:16">
      <c r="A82" s="44" t="s">
        <v>293</v>
      </c>
      <c r="B82" s="44"/>
      <c r="C82" s="35">
        <v>45086</v>
      </c>
      <c r="D82" s="35">
        <v>45089</v>
      </c>
      <c r="E82" s="4">
        <v>45103</v>
      </c>
      <c r="F82" s="40"/>
      <c r="G82" s="40"/>
      <c r="H82" s="5">
        <v>11.03</v>
      </c>
      <c r="I82" s="102">
        <f>21/30*14</f>
        <v>9.7999999999999989</v>
      </c>
      <c r="J82" s="40"/>
      <c r="K82" s="40"/>
      <c r="L82" s="6">
        <v>50</v>
      </c>
      <c r="M82" s="6">
        <v>21</v>
      </c>
      <c r="N82" s="59">
        <f>(L82-M82)*0.7</f>
        <v>20.299999999999997</v>
      </c>
    </row>
    <row r="83" spans="1:16">
      <c r="A83" s="44" t="s">
        <v>295</v>
      </c>
      <c r="B83" s="44"/>
      <c r="C83" s="35">
        <v>45228</v>
      </c>
      <c r="D83" s="35">
        <v>45203</v>
      </c>
      <c r="E83" s="4"/>
      <c r="F83" s="40"/>
      <c r="G83" s="40"/>
      <c r="H83" s="5">
        <v>13.31</v>
      </c>
      <c r="I83" s="102">
        <f>27/30*5</f>
        <v>4.5</v>
      </c>
      <c r="J83" s="40">
        <v>45</v>
      </c>
      <c r="K83" s="40"/>
      <c r="L83" s="6">
        <v>80</v>
      </c>
      <c r="M83" s="6">
        <v>27</v>
      </c>
      <c r="N83" s="59">
        <f>(L83-M83)*0.7</f>
        <v>37.099999999999994</v>
      </c>
    </row>
    <row r="84" spans="1:16">
      <c r="A84" s="44" t="s">
        <v>320</v>
      </c>
      <c r="B84" s="44"/>
      <c r="C84" s="35">
        <v>45177</v>
      </c>
      <c r="D84" s="35">
        <v>45196</v>
      </c>
      <c r="E84" s="4"/>
      <c r="F84" s="40"/>
      <c r="G84" s="40"/>
      <c r="H84" s="5">
        <v>10.44</v>
      </c>
      <c r="I84" s="102">
        <f>38/30*21</f>
        <v>26.599999999999998</v>
      </c>
      <c r="J84" s="40"/>
      <c r="K84" s="40"/>
      <c r="L84" s="6">
        <v>69</v>
      </c>
      <c r="M84" s="6">
        <v>38</v>
      </c>
      <c r="N84" s="59">
        <f>(69-38)*0.7</f>
        <v>21.7</v>
      </c>
    </row>
    <row r="85" spans="1:16">
      <c r="A85" s="44" t="s">
        <v>325</v>
      </c>
      <c r="B85" s="44"/>
      <c r="C85" s="35"/>
      <c r="D85" s="35">
        <v>45223</v>
      </c>
      <c r="E85" s="4">
        <v>45239</v>
      </c>
      <c r="F85" s="40"/>
      <c r="G85" s="40"/>
      <c r="H85" s="5">
        <v>40</v>
      </c>
      <c r="I85" s="102">
        <f>43/30*15</f>
        <v>21.5</v>
      </c>
      <c r="J85" s="40"/>
      <c r="K85" s="40"/>
      <c r="L85" s="6">
        <v>69</v>
      </c>
      <c r="M85" s="6">
        <v>43</v>
      </c>
      <c r="N85" s="94">
        <f>(69-43)*0.7</f>
        <v>18.2</v>
      </c>
      <c r="O85" s="72" t="s">
        <v>329</v>
      </c>
      <c r="P85" s="72">
        <v>12.74</v>
      </c>
    </row>
    <row r="86" spans="1:16">
      <c r="A86" s="44" t="s">
        <v>326</v>
      </c>
      <c r="B86" s="44"/>
      <c r="C86" s="35"/>
      <c r="D86" s="35">
        <v>45188</v>
      </c>
      <c r="E86" s="4">
        <v>45209</v>
      </c>
      <c r="F86" s="40"/>
      <c r="G86" s="40"/>
      <c r="H86" s="5">
        <v>11.48</v>
      </c>
      <c r="I86" s="102"/>
      <c r="J86" s="40"/>
      <c r="K86" s="40"/>
      <c r="L86" s="6">
        <v>59</v>
      </c>
      <c r="M86" s="6">
        <v>38</v>
      </c>
      <c r="N86" s="59">
        <f>(L86-M86)*0.7</f>
        <v>14.7</v>
      </c>
    </row>
    <row r="87" spans="1:16">
      <c r="A87" s="44" t="s">
        <v>108</v>
      </c>
      <c r="B87" s="44"/>
      <c r="C87" s="35"/>
      <c r="D87" s="35">
        <v>45231</v>
      </c>
      <c r="E87" s="4">
        <v>45231</v>
      </c>
      <c r="F87" s="40"/>
      <c r="G87" s="40"/>
      <c r="H87" s="5"/>
      <c r="I87" s="102"/>
      <c r="J87" s="40"/>
      <c r="K87" s="40"/>
      <c r="L87" s="6">
        <v>69</v>
      </c>
      <c r="M87" s="6">
        <v>43</v>
      </c>
      <c r="N87" s="59">
        <f>(L87-M87)*0.7</f>
        <v>18.2</v>
      </c>
    </row>
    <row r="88" spans="1:16">
      <c r="A88" s="44" t="s">
        <v>327</v>
      </c>
      <c r="B88" s="44"/>
      <c r="C88" s="35"/>
      <c r="D88" s="35"/>
      <c r="E88" s="4">
        <v>45127</v>
      </c>
      <c r="F88" s="40"/>
      <c r="G88" s="40"/>
      <c r="H88" s="5">
        <v>11.48</v>
      </c>
      <c r="I88" s="102"/>
      <c r="J88" s="40"/>
      <c r="K88" s="40"/>
      <c r="L88" s="6">
        <v>25</v>
      </c>
      <c r="M88" s="6">
        <v>9</v>
      </c>
      <c r="N88" s="59">
        <f>(L88-M88)*0.7</f>
        <v>11.2</v>
      </c>
    </row>
    <row r="89" spans="1:16">
      <c r="A89" s="44" t="s">
        <v>336</v>
      </c>
      <c r="B89" s="44"/>
      <c r="C89" s="35"/>
      <c r="D89" s="35">
        <v>45278</v>
      </c>
      <c r="E89" s="4">
        <v>45278</v>
      </c>
      <c r="F89" s="40"/>
      <c r="G89" s="40"/>
      <c r="H89" s="5"/>
      <c r="I89" s="102"/>
      <c r="J89" s="40"/>
      <c r="K89" s="40"/>
      <c r="L89" s="6">
        <v>69</v>
      </c>
      <c r="M89" s="6">
        <v>43</v>
      </c>
      <c r="N89" s="59">
        <f>(69-43)*0.7/30*42</f>
        <v>25.48</v>
      </c>
    </row>
    <row r="90" spans="1:16">
      <c r="A90" s="44" t="s">
        <v>337</v>
      </c>
      <c r="B90" s="44"/>
      <c r="C90" s="35">
        <v>45342</v>
      </c>
      <c r="D90" s="35">
        <v>44977</v>
      </c>
      <c r="E90" s="4">
        <v>45342</v>
      </c>
      <c r="F90" s="40"/>
      <c r="G90" s="40"/>
      <c r="H90" s="5">
        <v>13.78</v>
      </c>
      <c r="I90" s="102"/>
      <c r="J90" s="40">
        <f>45+50</f>
        <v>95</v>
      </c>
      <c r="K90" s="40"/>
      <c r="L90" s="6">
        <v>119</v>
      </c>
      <c r="M90" s="6">
        <f>38+7+9</f>
        <v>54</v>
      </c>
      <c r="N90" s="59">
        <f t="shared" ref="N90:N111" si="2">(L90-M90)*0.7</f>
        <v>45.5</v>
      </c>
    </row>
    <row r="91" spans="1:16">
      <c r="A91" s="44" t="s">
        <v>338</v>
      </c>
      <c r="B91" s="44"/>
      <c r="C91" s="35">
        <v>45271</v>
      </c>
      <c r="D91" s="35"/>
      <c r="E91" s="4">
        <v>45301</v>
      </c>
      <c r="F91" s="40"/>
      <c r="G91" s="40"/>
      <c r="H91" s="5">
        <v>14.26</v>
      </c>
      <c r="I91" s="102">
        <f>25/30*29</f>
        <v>24.166666666666668</v>
      </c>
      <c r="J91" s="40">
        <f>30+50</f>
        <v>80</v>
      </c>
      <c r="K91" s="40"/>
      <c r="L91" s="6">
        <v>80</v>
      </c>
      <c r="M91" s="6">
        <v>29</v>
      </c>
      <c r="N91" s="59">
        <f t="shared" si="2"/>
        <v>35.699999999999996</v>
      </c>
      <c r="O91" t="s">
        <v>339</v>
      </c>
    </row>
    <row r="92" spans="1:16">
      <c r="A92" s="44" t="s">
        <v>333</v>
      </c>
      <c r="B92" s="44"/>
      <c r="C92" s="35"/>
      <c r="D92" s="35"/>
      <c r="E92" s="4">
        <v>45336</v>
      </c>
      <c r="F92" s="40"/>
      <c r="G92" s="40"/>
      <c r="H92" s="5">
        <v>10</v>
      </c>
      <c r="I92" s="102">
        <v>0</v>
      </c>
      <c r="J92" s="40">
        <v>120</v>
      </c>
      <c r="K92" s="40"/>
      <c r="L92" s="6">
        <v>160</v>
      </c>
      <c r="M92" s="6">
        <v>72</v>
      </c>
      <c r="N92" s="59">
        <f t="shared" si="2"/>
        <v>61.599999999999994</v>
      </c>
    </row>
    <row r="93" spans="1:16">
      <c r="A93" s="44" t="s">
        <v>343</v>
      </c>
      <c r="B93" s="44"/>
      <c r="C93" s="35"/>
      <c r="D93" s="35"/>
      <c r="E93" s="4">
        <v>45336</v>
      </c>
      <c r="F93" s="40"/>
      <c r="G93" s="40"/>
      <c r="H93" s="5">
        <v>10.92</v>
      </c>
      <c r="I93" s="102"/>
      <c r="J93" s="40"/>
      <c r="K93" s="40"/>
      <c r="L93" s="6">
        <v>59</v>
      </c>
      <c r="M93" s="6">
        <v>38</v>
      </c>
      <c r="N93" s="59">
        <f t="shared" si="2"/>
        <v>14.7</v>
      </c>
    </row>
    <row r="94" spans="1:16">
      <c r="A94" s="44" t="s">
        <v>381</v>
      </c>
      <c r="B94" s="44"/>
      <c r="C94" s="35"/>
      <c r="D94" s="35">
        <v>45323</v>
      </c>
      <c r="E94" s="4">
        <v>45323</v>
      </c>
      <c r="F94" s="40"/>
      <c r="G94" s="40"/>
      <c r="H94" s="5">
        <v>10.92</v>
      </c>
      <c r="I94" s="102"/>
      <c r="J94" s="40"/>
      <c r="K94" s="40"/>
      <c r="L94" s="6">
        <v>59</v>
      </c>
      <c r="M94" s="6">
        <v>38</v>
      </c>
      <c r="N94" s="59">
        <f t="shared" si="2"/>
        <v>14.7</v>
      </c>
    </row>
    <row r="95" spans="1:16">
      <c r="A95" s="44" t="s">
        <v>345</v>
      </c>
      <c r="B95" s="44"/>
      <c r="C95" s="35"/>
      <c r="D95" s="35"/>
      <c r="E95" s="4">
        <v>45345</v>
      </c>
      <c r="F95" s="40"/>
      <c r="G95" s="40"/>
      <c r="H95" s="5">
        <v>24.2</v>
      </c>
      <c r="I95" s="102"/>
      <c r="J95" s="40">
        <v>45</v>
      </c>
      <c r="K95" s="40"/>
      <c r="L95" s="6">
        <v>90</v>
      </c>
      <c r="M95" s="6">
        <f>7+9</f>
        <v>16</v>
      </c>
      <c r="N95" s="59">
        <f t="shared" si="2"/>
        <v>51.8</v>
      </c>
    </row>
    <row r="96" spans="1:16">
      <c r="A96" s="44" t="s">
        <v>346</v>
      </c>
      <c r="B96" s="44"/>
      <c r="C96" s="35"/>
      <c r="D96" s="35"/>
      <c r="E96" s="4">
        <v>45334</v>
      </c>
      <c r="F96" s="40"/>
      <c r="G96" s="40"/>
      <c r="H96" s="5">
        <v>12.01</v>
      </c>
      <c r="I96" s="102"/>
      <c r="J96" s="40">
        <v>15</v>
      </c>
      <c r="K96" s="40"/>
      <c r="L96" s="6">
        <v>20</v>
      </c>
      <c r="M96" s="6">
        <v>9</v>
      </c>
      <c r="N96" s="70">
        <f t="shared" si="2"/>
        <v>7.6999999999999993</v>
      </c>
    </row>
    <row r="97" spans="1:14">
      <c r="A97" s="44" t="s">
        <v>361</v>
      </c>
      <c r="B97" s="44"/>
      <c r="C97" s="35"/>
      <c r="D97" s="35">
        <v>45366</v>
      </c>
      <c r="E97" s="4">
        <v>45385</v>
      </c>
      <c r="F97" s="40"/>
      <c r="G97" s="40"/>
      <c r="H97" s="5"/>
      <c r="I97" s="102">
        <f>69/30*18</f>
        <v>41.4</v>
      </c>
      <c r="J97" s="40"/>
      <c r="K97" s="40"/>
      <c r="L97" s="6">
        <v>69</v>
      </c>
      <c r="M97" s="6">
        <v>43</v>
      </c>
      <c r="N97" s="70">
        <f t="shared" si="2"/>
        <v>18.2</v>
      </c>
    </row>
    <row r="98" spans="1:14">
      <c r="A98" s="44" t="s">
        <v>365</v>
      </c>
      <c r="B98" s="44"/>
      <c r="C98" s="35"/>
      <c r="D98" s="35">
        <v>45450</v>
      </c>
      <c r="E98" s="4">
        <v>45456</v>
      </c>
      <c r="F98" s="40"/>
      <c r="G98" s="40"/>
      <c r="H98" s="5"/>
      <c r="I98" s="102">
        <f>47/30*5</f>
        <v>7.833333333333333</v>
      </c>
      <c r="J98" s="40"/>
      <c r="K98" s="40"/>
      <c r="L98" s="6">
        <v>69</v>
      </c>
      <c r="M98" s="6">
        <v>47</v>
      </c>
      <c r="N98" s="59">
        <f t="shared" si="2"/>
        <v>15.399999999999999</v>
      </c>
    </row>
    <row r="99" spans="1:14">
      <c r="A99" s="44" t="s">
        <v>358</v>
      </c>
      <c r="B99" s="44"/>
      <c r="C99" s="35"/>
      <c r="D99" s="35">
        <v>45468</v>
      </c>
      <c r="E99" s="4">
        <v>45468</v>
      </c>
      <c r="F99" s="40"/>
      <c r="G99" s="40"/>
      <c r="H99" s="5">
        <v>12.01</v>
      </c>
      <c r="I99" s="102"/>
      <c r="J99" s="40"/>
      <c r="K99" s="40"/>
      <c r="L99" s="6">
        <v>59</v>
      </c>
      <c r="M99" s="6">
        <v>38</v>
      </c>
      <c r="N99" s="59">
        <f t="shared" si="2"/>
        <v>14.7</v>
      </c>
    </row>
    <row r="100" spans="1:14">
      <c r="A100" s="44" t="s">
        <v>218</v>
      </c>
      <c r="B100" s="44"/>
      <c r="C100" s="35"/>
      <c r="D100" s="35">
        <v>45456</v>
      </c>
      <c r="E100" s="4">
        <v>45456</v>
      </c>
      <c r="F100" s="40"/>
      <c r="G100" s="40"/>
      <c r="H100" s="5">
        <v>10</v>
      </c>
      <c r="I100" s="102"/>
      <c r="J100" s="40">
        <v>45</v>
      </c>
      <c r="K100" s="40"/>
      <c r="L100" s="6">
        <v>60</v>
      </c>
      <c r="M100" s="6">
        <v>7</v>
      </c>
      <c r="N100" s="59">
        <f t="shared" si="2"/>
        <v>37.099999999999994</v>
      </c>
    </row>
    <row r="101" spans="1:14">
      <c r="A101" s="44" t="s">
        <v>366</v>
      </c>
      <c r="B101" s="44"/>
      <c r="C101" s="35"/>
      <c r="D101" s="35">
        <v>45454</v>
      </c>
      <c r="E101" s="4"/>
      <c r="F101" s="40"/>
      <c r="G101" s="40"/>
      <c r="H101" s="5"/>
      <c r="I101" s="102"/>
      <c r="J101" s="40"/>
      <c r="K101" s="40"/>
      <c r="L101" s="6">
        <v>59</v>
      </c>
      <c r="M101" s="6">
        <v>38</v>
      </c>
      <c r="N101" s="59">
        <f t="shared" si="2"/>
        <v>14.7</v>
      </c>
    </row>
    <row r="102" spans="1:14">
      <c r="A102" s="44" t="s">
        <v>64</v>
      </c>
      <c r="B102" s="44"/>
      <c r="C102" s="35"/>
      <c r="D102" s="35">
        <v>45469</v>
      </c>
      <c r="E102" s="4">
        <v>45469</v>
      </c>
      <c r="F102" s="40"/>
      <c r="G102" s="40"/>
      <c r="H102" s="5"/>
      <c r="I102" s="102"/>
      <c r="J102" s="40"/>
      <c r="K102" s="40"/>
      <c r="L102" s="6">
        <v>100</v>
      </c>
      <c r="M102" s="18">
        <v>5</v>
      </c>
      <c r="N102" s="59">
        <f t="shared" si="2"/>
        <v>66.5</v>
      </c>
    </row>
    <row r="103" spans="1:14">
      <c r="A103" s="44" t="s">
        <v>369</v>
      </c>
      <c r="B103" s="44"/>
      <c r="C103" s="35"/>
      <c r="D103" s="35">
        <v>45464</v>
      </c>
      <c r="E103" s="4">
        <v>41811</v>
      </c>
      <c r="F103" s="40"/>
      <c r="G103" s="40"/>
      <c r="H103" s="5">
        <v>24.98</v>
      </c>
      <c r="I103" s="102"/>
      <c r="J103" s="40">
        <v>15</v>
      </c>
      <c r="K103" s="40"/>
      <c r="L103" s="6">
        <v>80</v>
      </c>
      <c r="M103" s="6">
        <v>42.5</v>
      </c>
      <c r="N103" s="59">
        <f t="shared" si="2"/>
        <v>26.25</v>
      </c>
    </row>
    <row r="104" spans="1:14">
      <c r="A104" s="44" t="s">
        <v>370</v>
      </c>
      <c r="B104" s="44"/>
      <c r="C104" s="35"/>
      <c r="D104" s="35">
        <v>45444</v>
      </c>
      <c r="E104" s="4">
        <v>41791</v>
      </c>
      <c r="F104" s="40"/>
      <c r="G104" s="40"/>
      <c r="H104" s="5">
        <v>12.98</v>
      </c>
      <c r="I104" s="102"/>
      <c r="J104" s="40">
        <v>30</v>
      </c>
      <c r="K104" s="40"/>
      <c r="L104" s="6">
        <v>65</v>
      </c>
      <c r="M104" s="6">
        <v>18</v>
      </c>
      <c r="N104" s="59">
        <f t="shared" si="2"/>
        <v>32.9</v>
      </c>
    </row>
    <row r="105" spans="1:14">
      <c r="A105" s="44" t="s">
        <v>375</v>
      </c>
      <c r="B105" s="44"/>
      <c r="C105" s="35"/>
      <c r="D105" s="35">
        <v>45471</v>
      </c>
      <c r="E105" s="35">
        <v>45471</v>
      </c>
      <c r="F105" s="40"/>
      <c r="G105" s="40"/>
      <c r="H105" s="5">
        <f>10+12.01</f>
        <v>22.009999999999998</v>
      </c>
      <c r="I105" s="102"/>
      <c r="J105" s="40">
        <v>30</v>
      </c>
      <c r="K105" s="40"/>
      <c r="L105" s="6">
        <v>90</v>
      </c>
      <c r="M105" s="18">
        <f>38.5+1+18</f>
        <v>57.5</v>
      </c>
      <c r="N105" s="70">
        <f t="shared" si="2"/>
        <v>22.75</v>
      </c>
    </row>
    <row r="106" spans="1:14">
      <c r="A106" s="44" t="s">
        <v>83</v>
      </c>
      <c r="B106" s="44"/>
      <c r="C106" s="35"/>
      <c r="D106" s="35">
        <v>45482</v>
      </c>
      <c r="E106" s="35">
        <v>45482</v>
      </c>
      <c r="F106" s="40"/>
      <c r="G106" s="40"/>
      <c r="H106" s="5"/>
      <c r="I106" s="102"/>
      <c r="J106" s="40"/>
      <c r="K106" s="40"/>
      <c r="L106" s="6">
        <v>69</v>
      </c>
      <c r="M106" s="18">
        <v>43</v>
      </c>
      <c r="N106" s="70">
        <f t="shared" si="2"/>
        <v>18.2</v>
      </c>
    </row>
    <row r="107" spans="1:14">
      <c r="A107" s="44" t="s">
        <v>383</v>
      </c>
      <c r="B107" s="44"/>
      <c r="C107" s="35"/>
      <c r="D107" s="35">
        <v>45434</v>
      </c>
      <c r="E107" s="35">
        <v>45513</v>
      </c>
      <c r="F107" s="40"/>
      <c r="G107" s="40"/>
      <c r="H107" s="5">
        <v>14.58</v>
      </c>
      <c r="I107" s="102"/>
      <c r="J107" s="40"/>
      <c r="K107" s="40"/>
      <c r="L107" s="6">
        <v>69</v>
      </c>
      <c r="M107" s="18">
        <v>43</v>
      </c>
      <c r="N107" s="70">
        <f t="shared" si="2"/>
        <v>18.2</v>
      </c>
    </row>
    <row r="108" spans="1:14">
      <c r="A108" s="44" t="s">
        <v>384</v>
      </c>
      <c r="B108" s="44"/>
      <c r="C108" s="35"/>
      <c r="D108" s="35"/>
      <c r="E108" s="35">
        <v>45513</v>
      </c>
      <c r="F108" s="40"/>
      <c r="G108" s="40"/>
      <c r="H108" s="5"/>
      <c r="I108" s="102"/>
      <c r="J108" s="40">
        <v>60</v>
      </c>
      <c r="K108" s="40"/>
      <c r="L108" s="6">
        <v>115</v>
      </c>
      <c r="M108" s="6">
        <v>37</v>
      </c>
      <c r="N108" s="70">
        <f t="shared" si="2"/>
        <v>54.599999999999994</v>
      </c>
    </row>
    <row r="109" spans="1:14">
      <c r="A109" s="44" t="s">
        <v>389</v>
      </c>
      <c r="B109" s="44"/>
      <c r="C109" s="35"/>
      <c r="D109" s="35">
        <v>45574</v>
      </c>
      <c r="E109" s="35">
        <v>45574</v>
      </c>
      <c r="F109" s="40"/>
      <c r="G109" s="40"/>
      <c r="H109" s="5"/>
      <c r="I109" s="102"/>
      <c r="J109" s="40"/>
      <c r="K109" s="40"/>
      <c r="L109" s="6">
        <v>10</v>
      </c>
      <c r="M109" s="6">
        <v>1</v>
      </c>
      <c r="N109" s="59">
        <f t="shared" si="2"/>
        <v>6.3</v>
      </c>
    </row>
    <row r="110" spans="1:14">
      <c r="A110" s="44" t="s">
        <v>397</v>
      </c>
      <c r="B110" s="44"/>
      <c r="C110" s="35"/>
      <c r="D110" s="35">
        <v>45510</v>
      </c>
      <c r="E110" s="35">
        <v>45574</v>
      </c>
      <c r="F110" s="40"/>
      <c r="G110" s="40"/>
      <c r="H110" s="5">
        <v>31.89</v>
      </c>
      <c r="I110" s="102">
        <f>79/30*63*0.5</f>
        <v>82.95</v>
      </c>
      <c r="J110" s="40">
        <v>60</v>
      </c>
      <c r="K110" s="40"/>
      <c r="L110" s="6">
        <v>174</v>
      </c>
      <c r="M110" s="6">
        <v>79</v>
      </c>
      <c r="N110" s="59">
        <f t="shared" si="2"/>
        <v>66.5</v>
      </c>
    </row>
    <row r="111" spans="1:14">
      <c r="A111" s="44" t="s">
        <v>398</v>
      </c>
      <c r="B111" s="44"/>
      <c r="C111" s="35"/>
      <c r="D111" s="35">
        <v>45516</v>
      </c>
      <c r="E111" s="35">
        <v>45583</v>
      </c>
      <c r="F111" s="40"/>
      <c r="G111" s="40"/>
      <c r="H111" s="5"/>
      <c r="I111" s="102">
        <f>56.5/30*66*0.5</f>
        <v>62.15</v>
      </c>
      <c r="J111" s="40">
        <v>75</v>
      </c>
      <c r="K111" s="40"/>
      <c r="L111" s="6">
        <v>121.8</v>
      </c>
      <c r="M111" s="6">
        <v>47.5</v>
      </c>
      <c r="N111" s="59">
        <f t="shared" si="2"/>
        <v>52.01</v>
      </c>
    </row>
    <row r="112" spans="1:14">
      <c r="A112" s="44" t="s">
        <v>390</v>
      </c>
      <c r="B112" s="44"/>
      <c r="C112" s="35"/>
      <c r="D112" s="35">
        <v>45573</v>
      </c>
      <c r="E112" s="35">
        <v>45621</v>
      </c>
      <c r="F112" s="40"/>
      <c r="G112" s="40"/>
      <c r="H112" s="5">
        <v>16.940000000000001</v>
      </c>
      <c r="I112" s="102">
        <f>47.5/30*47</f>
        <v>74.416666666666657</v>
      </c>
      <c r="J112" s="40">
        <v>60</v>
      </c>
      <c r="K112" s="40"/>
      <c r="L112" s="6">
        <v>130</v>
      </c>
      <c r="M112" s="6">
        <v>63.5</v>
      </c>
      <c r="N112" s="59">
        <f>(L112-M112)*0.7</f>
        <v>46.55</v>
      </c>
    </row>
    <row r="113" spans="1:14">
      <c r="A113" s="44" t="s">
        <v>406</v>
      </c>
      <c r="B113" s="44"/>
      <c r="C113" s="35">
        <v>45624</v>
      </c>
      <c r="D113" s="35">
        <v>45631</v>
      </c>
      <c r="E113" s="35">
        <v>45631</v>
      </c>
      <c r="F113" s="40"/>
      <c r="G113" s="40"/>
      <c r="H113" s="5">
        <v>13.98</v>
      </c>
      <c r="I113" s="102"/>
      <c r="J113" s="40">
        <v>15</v>
      </c>
      <c r="K113" s="40"/>
      <c r="L113" s="6">
        <v>59</v>
      </c>
      <c r="M113" s="6">
        <v>38</v>
      </c>
      <c r="N113" s="59">
        <f>(L113-M113)*0.7</f>
        <v>14.7</v>
      </c>
    </row>
    <row r="114" spans="1:14">
      <c r="A114" s="44" t="s">
        <v>410</v>
      </c>
      <c r="B114" s="44"/>
      <c r="C114" s="35"/>
      <c r="D114" s="35"/>
      <c r="E114" s="35">
        <v>45613</v>
      </c>
      <c r="F114" s="40"/>
      <c r="G114" s="40"/>
      <c r="H114" s="5">
        <v>10</v>
      </c>
      <c r="I114" s="102">
        <f>-(14*14+14/30*13)</f>
        <v>-202.06666666666666</v>
      </c>
      <c r="J114" s="40">
        <v>15</v>
      </c>
      <c r="K114" s="40"/>
      <c r="L114" s="6">
        <v>30</v>
      </c>
      <c r="M114" s="6">
        <v>10</v>
      </c>
      <c r="N114" s="59">
        <f t="shared" ref="N114:N135" si="3">(L114-M114)*0.7</f>
        <v>14</v>
      </c>
    </row>
    <row r="115" spans="1:14">
      <c r="A115" s="44" t="s">
        <v>402</v>
      </c>
      <c r="B115" s="44"/>
      <c r="C115" s="35"/>
      <c r="D115" s="35">
        <v>45637</v>
      </c>
      <c r="E115" s="35">
        <v>45698</v>
      </c>
      <c r="F115" s="40"/>
      <c r="G115" s="40"/>
      <c r="H115" s="5">
        <v>13.98</v>
      </c>
      <c r="I115" s="102">
        <f>45/30*59</f>
        <v>88.5</v>
      </c>
      <c r="J115" s="40">
        <v>30</v>
      </c>
      <c r="K115" s="40"/>
      <c r="L115" s="6">
        <v>120</v>
      </c>
      <c r="M115" s="6">
        <v>45</v>
      </c>
      <c r="N115" s="59">
        <f t="shared" si="3"/>
        <v>52.5</v>
      </c>
    </row>
    <row r="116" spans="1:14">
      <c r="A116" s="44" t="s">
        <v>392</v>
      </c>
      <c r="B116" s="44"/>
      <c r="C116" s="35"/>
      <c r="D116" s="35"/>
      <c r="E116" s="35">
        <v>45694</v>
      </c>
      <c r="F116" s="40"/>
      <c r="G116" s="40"/>
      <c r="H116" s="5">
        <v>31.89</v>
      </c>
      <c r="I116" s="102" t="s">
        <v>414</v>
      </c>
      <c r="J116" s="40">
        <v>75</v>
      </c>
      <c r="K116" s="40"/>
      <c r="L116" s="6">
        <v>145</v>
      </c>
      <c r="M116" s="6">
        <v>72</v>
      </c>
      <c r="N116" s="59">
        <f t="shared" si="3"/>
        <v>51.099999999999994</v>
      </c>
    </row>
    <row r="117" spans="1:14">
      <c r="A117" s="44" t="s">
        <v>413</v>
      </c>
      <c r="B117" s="44"/>
      <c r="C117" s="35"/>
      <c r="D117" s="35"/>
      <c r="E117" s="35">
        <v>45730</v>
      </c>
      <c r="F117" s="40"/>
      <c r="G117" s="40"/>
      <c r="H117" s="5">
        <v>15.34</v>
      </c>
      <c r="I117" s="102"/>
      <c r="J117" s="40"/>
      <c r="K117" s="40"/>
      <c r="L117" s="6">
        <v>80</v>
      </c>
      <c r="M117" s="6">
        <v>28</v>
      </c>
      <c r="N117" s="59">
        <f t="shared" si="3"/>
        <v>36.4</v>
      </c>
    </row>
    <row r="118" spans="1:14">
      <c r="A118" s="44" t="s">
        <v>418</v>
      </c>
      <c r="B118" s="44"/>
      <c r="C118" s="35"/>
      <c r="D118" s="35"/>
      <c r="E118" s="35">
        <v>45737</v>
      </c>
      <c r="F118" s="40"/>
      <c r="G118" s="40"/>
      <c r="H118" s="5">
        <v>32.17</v>
      </c>
      <c r="I118" s="102"/>
      <c r="J118" s="40">
        <v>90</v>
      </c>
      <c r="K118" s="40"/>
      <c r="L118" s="6">
        <v>150</v>
      </c>
      <c r="M118" s="6">
        <v>43</v>
      </c>
      <c r="N118" s="59">
        <f t="shared" si="3"/>
        <v>74.899999999999991</v>
      </c>
    </row>
    <row r="119" spans="1:14">
      <c r="A119" s="44" t="s">
        <v>417</v>
      </c>
      <c r="B119" s="44"/>
      <c r="C119" s="35"/>
      <c r="D119" s="35"/>
      <c r="E119" s="35">
        <v>45687</v>
      </c>
      <c r="F119" s="40"/>
      <c r="G119" s="40"/>
      <c r="H119" s="5"/>
      <c r="I119" s="102"/>
      <c r="J119" s="40">
        <v>40</v>
      </c>
      <c r="K119" s="40"/>
      <c r="L119" s="6">
        <v>59</v>
      </c>
      <c r="M119" s="6">
        <v>43</v>
      </c>
      <c r="N119" s="59">
        <f t="shared" si="3"/>
        <v>11.2</v>
      </c>
    </row>
    <row r="120" spans="1:14">
      <c r="A120" s="44" t="s">
        <v>423</v>
      </c>
      <c r="B120" s="44"/>
      <c r="C120" s="35"/>
      <c r="D120" s="35"/>
      <c r="E120" s="35">
        <v>45714</v>
      </c>
      <c r="F120" s="40"/>
      <c r="G120" s="40"/>
      <c r="H120" s="5"/>
      <c r="I120" s="102"/>
      <c r="J120" s="40"/>
      <c r="K120" s="40"/>
      <c r="L120" s="6">
        <v>50</v>
      </c>
      <c r="M120" s="6">
        <v>41</v>
      </c>
      <c r="N120" s="59">
        <f t="shared" si="3"/>
        <v>6.3</v>
      </c>
    </row>
    <row r="121" spans="1:14">
      <c r="A121" s="44" t="s">
        <v>424</v>
      </c>
      <c r="B121" s="44"/>
      <c r="C121" s="35"/>
      <c r="D121" s="35"/>
      <c r="E121" s="35">
        <v>45750</v>
      </c>
      <c r="F121" s="40"/>
      <c r="G121" s="40"/>
      <c r="H121" s="5">
        <v>15.34</v>
      </c>
      <c r="I121" s="102"/>
      <c r="J121" s="40">
        <v>30</v>
      </c>
      <c r="K121" s="40"/>
      <c r="L121" s="6">
        <v>45</v>
      </c>
      <c r="M121" s="6">
        <v>7</v>
      </c>
      <c r="N121" s="59">
        <f t="shared" si="3"/>
        <v>26.599999999999998</v>
      </c>
    </row>
    <row r="122" spans="1:14">
      <c r="A122" s="44" t="s">
        <v>425</v>
      </c>
      <c r="B122" s="44"/>
      <c r="C122" s="35"/>
      <c r="D122" s="35"/>
      <c r="E122" s="35">
        <v>45765</v>
      </c>
      <c r="F122" s="40"/>
      <c r="G122" s="40"/>
      <c r="H122" s="5">
        <v>14.54</v>
      </c>
      <c r="I122" s="102"/>
      <c r="J122" s="40"/>
      <c r="K122" s="40"/>
      <c r="L122" s="6">
        <v>220</v>
      </c>
      <c r="M122" s="6">
        <v>99</v>
      </c>
      <c r="N122" s="59">
        <f t="shared" si="3"/>
        <v>84.699999999999989</v>
      </c>
    </row>
    <row r="123" spans="1:14">
      <c r="A123" s="44" t="s">
        <v>441</v>
      </c>
      <c r="B123" s="44"/>
      <c r="C123" s="35"/>
      <c r="D123" s="35"/>
      <c r="E123" s="35">
        <v>45853</v>
      </c>
      <c r="F123" s="40"/>
      <c r="G123" s="40"/>
      <c r="H123" s="5">
        <v>12.44</v>
      </c>
      <c r="I123" s="102"/>
      <c r="J123" s="40"/>
      <c r="K123" s="40"/>
      <c r="L123" s="6">
        <v>59</v>
      </c>
      <c r="M123" s="6">
        <v>38</v>
      </c>
      <c r="N123" s="59">
        <f t="shared" si="3"/>
        <v>14.7</v>
      </c>
    </row>
    <row r="124" spans="1:14">
      <c r="A124" s="44" t="s">
        <v>408</v>
      </c>
      <c r="B124" s="44"/>
      <c r="C124" s="35"/>
      <c r="D124" s="35"/>
      <c r="E124" s="35"/>
      <c r="F124" s="40"/>
      <c r="G124" s="40"/>
      <c r="H124" s="5"/>
      <c r="I124" s="102"/>
      <c r="J124" s="40"/>
      <c r="K124" s="40"/>
      <c r="L124" s="6">
        <v>69</v>
      </c>
      <c r="M124" s="6">
        <v>38</v>
      </c>
      <c r="N124" s="59">
        <f t="shared" si="3"/>
        <v>21.7</v>
      </c>
    </row>
    <row r="125" spans="1:14">
      <c r="A125" s="44" t="s">
        <v>462</v>
      </c>
      <c r="B125" s="44"/>
      <c r="C125" s="35"/>
      <c r="D125" s="35"/>
      <c r="E125" s="35"/>
      <c r="F125" s="40"/>
      <c r="G125" s="40"/>
      <c r="H125" s="5"/>
      <c r="I125" s="102"/>
      <c r="J125" s="40"/>
      <c r="K125" s="40"/>
      <c r="L125" s="6">
        <v>40</v>
      </c>
      <c r="M125" s="6">
        <v>7</v>
      </c>
      <c r="N125" s="59">
        <f t="shared" si="3"/>
        <v>23.099999999999998</v>
      </c>
    </row>
    <row r="126" spans="1:14">
      <c r="A126" s="44" t="s">
        <v>470</v>
      </c>
      <c r="B126" s="44"/>
      <c r="C126" s="35"/>
      <c r="D126" s="35"/>
      <c r="E126" s="35">
        <v>45875</v>
      </c>
      <c r="F126" s="40"/>
      <c r="G126" s="40"/>
      <c r="H126" s="5">
        <v>12.44</v>
      </c>
      <c r="I126" s="102"/>
      <c r="J126" s="40"/>
      <c r="K126" s="40"/>
      <c r="L126" s="6">
        <v>59</v>
      </c>
      <c r="M126" s="6">
        <v>38</v>
      </c>
      <c r="N126" s="59">
        <f t="shared" si="3"/>
        <v>14.7</v>
      </c>
    </row>
    <row r="127" spans="1:14">
      <c r="A127" s="44" t="s">
        <v>469</v>
      </c>
      <c r="B127" s="44"/>
      <c r="C127" s="35"/>
      <c r="D127" s="35"/>
      <c r="E127" s="35">
        <v>45875</v>
      </c>
      <c r="F127" s="40"/>
      <c r="G127" s="40"/>
      <c r="H127" s="5">
        <v>12.44</v>
      </c>
      <c r="I127" s="102"/>
      <c r="J127" s="40"/>
      <c r="K127" s="40"/>
      <c r="L127" s="6">
        <v>59</v>
      </c>
      <c r="M127" s="6">
        <v>38</v>
      </c>
      <c r="N127" s="59">
        <f t="shared" si="3"/>
        <v>14.7</v>
      </c>
    </row>
    <row r="128" spans="1:14">
      <c r="A128" s="44" t="s">
        <v>471</v>
      </c>
      <c r="B128" s="44"/>
      <c r="C128" s="35"/>
      <c r="D128" s="35"/>
      <c r="E128" s="35">
        <v>45908</v>
      </c>
      <c r="F128" s="40"/>
      <c r="G128" s="40"/>
      <c r="H128" s="5">
        <v>12.44</v>
      </c>
      <c r="I128" s="102"/>
      <c r="J128" s="40"/>
      <c r="K128" s="40"/>
      <c r="L128" s="6">
        <v>59</v>
      </c>
      <c r="M128" s="6">
        <v>38</v>
      </c>
      <c r="N128" s="59">
        <f t="shared" si="3"/>
        <v>14.7</v>
      </c>
    </row>
    <row r="129" spans="1:14">
      <c r="A129" s="44" t="s">
        <v>64</v>
      </c>
      <c r="B129" s="44"/>
      <c r="C129" s="35"/>
      <c r="D129" s="35"/>
      <c r="E129" s="35">
        <v>45951</v>
      </c>
      <c r="F129" s="40"/>
      <c r="G129" s="40"/>
      <c r="H129" s="5">
        <v>13.54</v>
      </c>
      <c r="I129" s="102"/>
      <c r="J129" s="40"/>
      <c r="K129" s="40"/>
      <c r="L129" s="6">
        <v>59</v>
      </c>
      <c r="M129" s="6">
        <v>38</v>
      </c>
      <c r="N129" s="59">
        <f t="shared" si="3"/>
        <v>14.7</v>
      </c>
    </row>
    <row r="130" spans="1:14">
      <c r="A130" s="44" t="s">
        <v>490</v>
      </c>
      <c r="B130" s="44"/>
      <c r="C130" s="35"/>
      <c r="D130" s="35"/>
      <c r="E130" s="35">
        <v>45943</v>
      </c>
      <c r="F130" s="40"/>
      <c r="G130" s="40"/>
      <c r="H130" s="5">
        <v>13.44</v>
      </c>
      <c r="I130" s="102"/>
      <c r="J130" s="40"/>
      <c r="K130" s="40"/>
      <c r="L130" s="6">
        <v>69</v>
      </c>
      <c r="M130" s="6">
        <v>38</v>
      </c>
      <c r="N130" s="59">
        <f t="shared" si="3"/>
        <v>21.7</v>
      </c>
    </row>
    <row r="131" spans="1:14">
      <c r="A131" s="44" t="s">
        <v>493</v>
      </c>
      <c r="B131" s="44"/>
      <c r="C131" s="35"/>
      <c r="D131" s="35"/>
      <c r="E131" s="35">
        <v>45890</v>
      </c>
      <c r="F131" s="40"/>
      <c r="G131" s="40"/>
      <c r="H131" s="5">
        <v>13.44</v>
      </c>
      <c r="I131" s="102"/>
      <c r="J131" s="40"/>
      <c r="K131" s="40"/>
      <c r="L131" s="6">
        <v>59</v>
      </c>
      <c r="M131" s="6">
        <v>38</v>
      </c>
      <c r="N131" s="59">
        <f t="shared" si="3"/>
        <v>14.7</v>
      </c>
    </row>
    <row r="132" spans="1:14">
      <c r="A132" s="44" t="s">
        <v>496</v>
      </c>
      <c r="B132" s="44"/>
      <c r="C132" s="35"/>
      <c r="D132" s="35"/>
      <c r="E132" s="35">
        <v>42297</v>
      </c>
      <c r="F132" s="40"/>
      <c r="G132" s="40"/>
      <c r="H132" s="5">
        <v>12.44</v>
      </c>
      <c r="I132" s="102"/>
      <c r="J132" s="40">
        <v>60</v>
      </c>
      <c r="K132" s="40"/>
      <c r="L132" s="6">
        <v>60</v>
      </c>
      <c r="M132" s="6">
        <v>25</v>
      </c>
      <c r="N132" s="59">
        <f t="shared" si="3"/>
        <v>24.5</v>
      </c>
    </row>
    <row r="133" spans="1:14">
      <c r="A133" s="44" t="s">
        <v>497</v>
      </c>
      <c r="B133" s="44"/>
      <c r="C133" s="35"/>
      <c r="D133" s="35"/>
      <c r="E133" s="35">
        <v>45755</v>
      </c>
      <c r="F133" s="40"/>
      <c r="G133" s="40"/>
      <c r="H133" s="5">
        <v>12.44</v>
      </c>
      <c r="I133" s="102"/>
      <c r="J133" s="40"/>
      <c r="K133" s="40"/>
      <c r="L133" s="6">
        <v>59</v>
      </c>
      <c r="M133" s="6">
        <v>38</v>
      </c>
      <c r="N133" s="59">
        <f t="shared" si="3"/>
        <v>14.7</v>
      </c>
    </row>
    <row r="134" spans="1:14">
      <c r="A134" s="44" t="s">
        <v>500</v>
      </c>
      <c r="B134" s="44"/>
      <c r="C134" s="35"/>
      <c r="D134" s="35"/>
      <c r="E134" s="35">
        <v>45874</v>
      </c>
      <c r="F134" s="40"/>
      <c r="G134" s="40"/>
      <c r="H134" s="5">
        <v>14.54</v>
      </c>
      <c r="I134" s="102"/>
      <c r="J134" s="40"/>
      <c r="K134" s="40"/>
      <c r="L134" s="6">
        <v>75</v>
      </c>
      <c r="M134" s="6">
        <f>38+3.5</f>
        <v>41.5</v>
      </c>
      <c r="N134" s="59">
        <f t="shared" si="3"/>
        <v>23.45</v>
      </c>
    </row>
    <row r="135" spans="1:14">
      <c r="A135" s="44" t="s">
        <v>513</v>
      </c>
      <c r="B135" s="44"/>
      <c r="C135" s="35"/>
      <c r="D135" s="35"/>
      <c r="E135" s="35"/>
      <c r="F135" s="40"/>
      <c r="G135" s="40"/>
      <c r="H135" s="5"/>
      <c r="I135" s="102"/>
      <c r="J135" s="40"/>
      <c r="K135" s="40"/>
      <c r="L135" s="6">
        <v>80</v>
      </c>
      <c r="M135" s="6">
        <v>25</v>
      </c>
      <c r="N135" s="59">
        <f t="shared" si="3"/>
        <v>38.5</v>
      </c>
    </row>
    <row r="136" spans="1:14">
      <c r="A136" s="44" t="s">
        <v>520</v>
      </c>
      <c r="B136" s="44"/>
      <c r="C136" s="35"/>
      <c r="D136" s="35"/>
      <c r="E136" s="35"/>
      <c r="F136" s="40"/>
      <c r="G136" s="40"/>
      <c r="H136" s="5"/>
      <c r="I136" s="102"/>
      <c r="J136" s="40"/>
      <c r="K136" s="40"/>
      <c r="L136" s="6">
        <v>69</v>
      </c>
      <c r="M136" s="6">
        <v>43</v>
      </c>
      <c r="N136" s="59">
        <f>(L136-M136)*0.7*12</f>
        <v>218.39999999999998</v>
      </c>
    </row>
    <row r="137" spans="1:14">
      <c r="A137" s="44" t="s">
        <v>524</v>
      </c>
      <c r="B137" s="44"/>
      <c r="C137" s="35"/>
      <c r="D137" s="35"/>
      <c r="E137" s="35">
        <v>46010</v>
      </c>
      <c r="F137" s="40"/>
      <c r="G137" s="40"/>
      <c r="H137" s="5">
        <v>31.19</v>
      </c>
      <c r="I137" s="102"/>
      <c r="J137" s="40"/>
      <c r="K137" s="40"/>
      <c r="L137" s="6">
        <v>60</v>
      </c>
      <c r="M137" s="18">
        <v>25</v>
      </c>
      <c r="N137" s="70">
        <f t="shared" ref="N137:N142" si="4">(L137-M137)*0.7</f>
        <v>24.5</v>
      </c>
    </row>
    <row r="138" spans="1:14">
      <c r="A138" s="44" t="s">
        <v>526</v>
      </c>
      <c r="B138" s="44"/>
      <c r="C138" s="35"/>
      <c r="D138" s="35"/>
      <c r="E138" s="35">
        <v>45980</v>
      </c>
      <c r="F138" s="40"/>
      <c r="G138" s="40"/>
      <c r="H138" s="5"/>
      <c r="I138" s="102"/>
      <c r="J138" s="40"/>
      <c r="K138" s="40"/>
      <c r="L138" s="6">
        <v>59</v>
      </c>
      <c r="M138" s="18">
        <v>36.5</v>
      </c>
      <c r="N138" s="70">
        <f t="shared" si="4"/>
        <v>15.749999999999998</v>
      </c>
    </row>
    <row r="139" spans="1:14">
      <c r="A139" s="44" t="s">
        <v>525</v>
      </c>
      <c r="B139" s="44"/>
      <c r="C139" s="35"/>
      <c r="D139" s="35"/>
      <c r="E139" s="35">
        <v>46002</v>
      </c>
      <c r="F139" s="40"/>
      <c r="G139" s="40"/>
      <c r="H139" s="5">
        <v>13.54</v>
      </c>
      <c r="I139" s="102"/>
      <c r="J139" s="40"/>
      <c r="K139" s="40"/>
      <c r="L139" s="6">
        <v>25</v>
      </c>
      <c r="M139" s="18">
        <v>4.5</v>
      </c>
      <c r="N139" s="70">
        <f t="shared" si="4"/>
        <v>14.35</v>
      </c>
    </row>
    <row r="140" spans="1:14">
      <c r="A140" s="44" t="s">
        <v>528</v>
      </c>
      <c r="B140" s="44"/>
      <c r="C140" s="35"/>
      <c r="D140" s="35"/>
      <c r="E140" s="35">
        <v>42332</v>
      </c>
      <c r="F140" s="40"/>
      <c r="G140" s="40"/>
      <c r="H140" s="5">
        <v>13.54</v>
      </c>
      <c r="I140" s="102"/>
      <c r="J140" s="40"/>
      <c r="K140" s="40"/>
      <c r="L140" s="6">
        <v>69</v>
      </c>
      <c r="M140" s="18">
        <v>36.5</v>
      </c>
      <c r="N140" s="70">
        <f t="shared" si="4"/>
        <v>22.75</v>
      </c>
    </row>
    <row r="141" spans="1:14">
      <c r="A141" s="44" t="s">
        <v>521</v>
      </c>
      <c r="B141" s="44"/>
      <c r="C141" s="35"/>
      <c r="D141" s="35"/>
      <c r="E141" s="35">
        <v>46009</v>
      </c>
      <c r="F141" s="40"/>
      <c r="G141" s="40"/>
      <c r="H141" s="5">
        <v>13.54</v>
      </c>
      <c r="I141" s="102"/>
      <c r="J141" s="40"/>
      <c r="K141" s="40"/>
      <c r="L141" s="6">
        <v>59</v>
      </c>
      <c r="M141" s="18">
        <v>36.5</v>
      </c>
      <c r="N141" s="70">
        <f t="shared" si="4"/>
        <v>15.749999999999998</v>
      </c>
    </row>
    <row r="142" spans="1:14">
      <c r="A142" s="10" t="s">
        <v>534</v>
      </c>
      <c r="B142" s="44"/>
      <c r="C142" s="35"/>
      <c r="D142" s="35"/>
      <c r="E142" s="35">
        <v>46054</v>
      </c>
      <c r="F142" s="40"/>
      <c r="G142" s="40"/>
      <c r="H142" s="5">
        <v>13.73</v>
      </c>
      <c r="I142" s="102"/>
      <c r="J142" s="40"/>
      <c r="K142" s="40"/>
      <c r="L142" s="6">
        <v>59</v>
      </c>
      <c r="M142" s="6">
        <v>36.5</v>
      </c>
      <c r="N142" s="59">
        <f t="shared" si="4"/>
        <v>15.749999999999998</v>
      </c>
    </row>
    <row r="143" spans="1:14">
      <c r="A143" s="10" t="s">
        <v>537</v>
      </c>
      <c r="B143" s="44"/>
      <c r="C143" s="35"/>
      <c r="D143" s="35"/>
      <c r="E143" s="35">
        <v>46033</v>
      </c>
      <c r="F143" s="40"/>
      <c r="G143" s="40"/>
      <c r="H143" s="5">
        <v>25.29</v>
      </c>
      <c r="I143" s="102"/>
      <c r="J143" s="40"/>
      <c r="K143" s="40"/>
      <c r="L143" s="6">
        <v>80</v>
      </c>
      <c r="M143" s="6">
        <f>3.5*3</f>
        <v>10.5</v>
      </c>
      <c r="N143" s="59">
        <f>(L143-M143)*0.7/30*49</f>
        <v>79.461666666666659</v>
      </c>
    </row>
    <row r="144" spans="1:14">
      <c r="C144" s="36"/>
      <c r="D144" s="36"/>
      <c r="F144" s="28"/>
      <c r="G144" s="28"/>
      <c r="H144" s="30">
        <f>SUM(H142:H143)</f>
        <v>39.019999999999996</v>
      </c>
      <c r="I144" s="30"/>
      <c r="M144" s="62" t="s">
        <v>4</v>
      </c>
      <c r="N144" s="18">
        <f>SUM(N2:N143)</f>
        <v>5028.4516666666623</v>
      </c>
    </row>
    <row r="145" spans="1:16">
      <c r="C145" s="36"/>
      <c r="D145" s="36"/>
      <c r="F145" s="28"/>
      <c r="G145" s="28"/>
      <c r="H145" s="30"/>
      <c r="I145" s="104"/>
      <c r="M145" s="61" t="s">
        <v>251</v>
      </c>
      <c r="N145" s="6">
        <f>N144+N156-H144</f>
        <v>4732.8816666666617</v>
      </c>
    </row>
    <row r="146" spans="1:16">
      <c r="C146" s="36"/>
      <c r="D146" s="36"/>
      <c r="F146" s="28"/>
      <c r="G146" s="28"/>
      <c r="H146" s="30"/>
      <c r="I146" s="104"/>
    </row>
    <row r="147" spans="1:16">
      <c r="M147" s="1"/>
    </row>
    <row r="148" spans="1:16">
      <c r="A148" s="28"/>
      <c r="B148" s="28"/>
      <c r="E148" s="15"/>
      <c r="F148" s="1"/>
      <c r="G148" s="1"/>
      <c r="H148" s="1"/>
      <c r="J148" s="1"/>
      <c r="K148" s="1"/>
      <c r="M148" s="1"/>
      <c r="N148" s="66"/>
    </row>
    <row r="149" spans="1:16">
      <c r="L149" s="1"/>
      <c r="M149" s="1"/>
    </row>
    <row r="150" spans="1:16">
      <c r="L150" s="69" t="s">
        <v>538</v>
      </c>
      <c r="M150"/>
      <c r="N150" s="69">
        <f>-149*0.7-50*0.7</f>
        <v>-139.30000000000001</v>
      </c>
      <c r="P150" s="42"/>
    </row>
    <row r="151" spans="1:16">
      <c r="L151" s="69" t="s">
        <v>523</v>
      </c>
      <c r="N151">
        <v>-99</v>
      </c>
    </row>
    <row r="152" spans="1:16">
      <c r="L152" s="69" t="s">
        <v>536</v>
      </c>
      <c r="N152">
        <f>50*0.7</f>
        <v>35</v>
      </c>
    </row>
    <row r="153" spans="1:16">
      <c r="L153" s="69" t="s">
        <v>535</v>
      </c>
      <c r="N153">
        <f>34.5*3*0.7</f>
        <v>72.449999999999989</v>
      </c>
    </row>
    <row r="154" spans="1:16">
      <c r="L154" t="s">
        <v>473</v>
      </c>
      <c r="M154" s="1"/>
      <c r="N154">
        <v>184.3</v>
      </c>
    </row>
    <row r="155" spans="1:16">
      <c r="L155" s="69" t="s">
        <v>356</v>
      </c>
      <c r="M155" s="1"/>
      <c r="N155">
        <f>-290-20</f>
        <v>-310</v>
      </c>
    </row>
    <row r="156" spans="1:16">
      <c r="L156" s="1" t="s">
        <v>503</v>
      </c>
      <c r="N156" s="108">
        <f>SUM(N147:N155)</f>
        <v>-256.55</v>
      </c>
      <c r="P156" s="42"/>
    </row>
    <row r="157" spans="1:16">
      <c r="L157" s="1"/>
    </row>
    <row r="158" spans="1:16">
      <c r="L158" s="1"/>
      <c r="N158" s="1"/>
      <c r="P158" s="42"/>
    </row>
    <row r="159" spans="1:16">
      <c r="L159" s="1"/>
      <c r="N159" s="1"/>
      <c r="P159" s="42"/>
    </row>
    <row r="160" spans="1:16">
      <c r="L160" s="1"/>
      <c r="N160" s="1"/>
      <c r="P160" s="42"/>
    </row>
    <row r="161" spans="1:16">
      <c r="L161" s="1"/>
      <c r="N161" s="1"/>
      <c r="P161" s="42"/>
    </row>
    <row r="162" spans="1:16">
      <c r="L162" s="1"/>
      <c r="N162" s="1"/>
      <c r="P162" s="42"/>
    </row>
    <row r="163" spans="1:16">
      <c r="L163" s="1"/>
      <c r="N163" s="1"/>
      <c r="P163" s="42"/>
    </row>
    <row r="164" spans="1:16" s="66" customFormat="1">
      <c r="A164"/>
      <c r="B164"/>
      <c r="C164"/>
      <c r="D164"/>
      <c r="E164"/>
      <c r="F164"/>
      <c r="G164"/>
      <c r="H164"/>
      <c r="I164" s="105"/>
      <c r="J164"/>
      <c r="K164"/>
      <c r="L164" s="1"/>
      <c r="N164"/>
      <c r="O164"/>
      <c r="P164"/>
    </row>
    <row r="165" spans="1:16" s="66" customFormat="1">
      <c r="A165"/>
      <c r="B165"/>
      <c r="C165"/>
      <c r="D165"/>
      <c r="E165"/>
      <c r="F165"/>
      <c r="G165"/>
      <c r="H165"/>
      <c r="I165" s="105"/>
      <c r="J165"/>
      <c r="K165"/>
      <c r="L165"/>
      <c r="M165" s="1"/>
      <c r="N165"/>
      <c r="O165"/>
      <c r="P165"/>
    </row>
  </sheetData>
  <autoFilter ref="A1:P145">
    <sortState ref="A2:P74">
      <sortCondition ref="B1:B74"/>
    </sortState>
  </autoFilter>
  <pageMargins left="0.7" right="0.7" top="0.75" bottom="0.75" header="0.3" footer="0.3"/>
  <pageSetup paperSize="9" orientation="portrait" r:id="rId1"/>
</worksheet>
</file>

<file path=xl/worksheets/sheet106.xml><?xml version="1.0" encoding="utf-8"?>
<worksheet xmlns="http://schemas.openxmlformats.org/spreadsheetml/2006/main" xmlns:r="http://schemas.openxmlformats.org/officeDocument/2006/relationships">
  <dimension ref="A1:P166"/>
  <sheetViews>
    <sheetView topLeftCell="A133" workbookViewId="0">
      <selection activeCell="N142" sqref="N142"/>
    </sheetView>
  </sheetViews>
  <sheetFormatPr baseColWidth="10" defaultRowHeight="15"/>
  <cols>
    <col min="1" max="1" width="26.5703125" customWidth="1"/>
    <col min="2" max="2" width="14.42578125" customWidth="1"/>
    <col min="3" max="3" width="22.85546875" customWidth="1"/>
    <col min="4" max="4" width="13.5703125" customWidth="1"/>
    <col min="9" max="9" width="10.85546875" style="105"/>
    <col min="12" max="12" width="19.140625" customWidth="1"/>
    <col min="13" max="13" width="10.85546875" style="66"/>
  </cols>
  <sheetData>
    <row r="1" spans="1:15" ht="60">
      <c r="A1" s="2"/>
      <c r="B1" s="2"/>
      <c r="C1" s="3" t="s">
        <v>0</v>
      </c>
      <c r="D1" s="3" t="s">
        <v>214</v>
      </c>
      <c r="E1" s="3" t="s">
        <v>1</v>
      </c>
      <c r="F1" s="3" t="s">
        <v>159</v>
      </c>
      <c r="G1" s="3" t="s">
        <v>162</v>
      </c>
      <c r="H1" s="3" t="s">
        <v>3</v>
      </c>
      <c r="I1" s="101" t="s">
        <v>11</v>
      </c>
      <c r="J1" s="3" t="s">
        <v>36</v>
      </c>
      <c r="K1" s="3" t="s">
        <v>12</v>
      </c>
      <c r="L1" s="3" t="s">
        <v>5</v>
      </c>
      <c r="M1" s="60" t="s">
        <v>7</v>
      </c>
      <c r="N1" s="3" t="s">
        <v>8</v>
      </c>
      <c r="O1" s="14" t="s">
        <v>35</v>
      </c>
    </row>
    <row r="2" spans="1:15">
      <c r="A2" s="2" t="s">
        <v>10</v>
      </c>
      <c r="B2" s="2"/>
      <c r="C2" s="4">
        <v>41852</v>
      </c>
      <c r="D2" s="4"/>
      <c r="E2" s="4">
        <v>41852</v>
      </c>
      <c r="F2" s="5"/>
      <c r="G2" s="49"/>
      <c r="H2" s="5">
        <v>10</v>
      </c>
      <c r="I2" s="102"/>
      <c r="J2" s="5"/>
      <c r="K2" s="5">
        <f>F2+H2+J2</f>
        <v>10</v>
      </c>
      <c r="L2" s="6">
        <v>40</v>
      </c>
      <c r="M2" s="61">
        <v>25</v>
      </c>
      <c r="N2" s="6">
        <f t="shared" ref="N2:N27" si="0">(L2-M2)*0.7</f>
        <v>10.5</v>
      </c>
    </row>
    <row r="3" spans="1:15">
      <c r="A3" s="2" t="s">
        <v>17</v>
      </c>
      <c r="B3" s="2"/>
      <c r="C3" s="4"/>
      <c r="D3" s="4"/>
      <c r="E3" s="4">
        <v>42209</v>
      </c>
      <c r="F3" s="5"/>
      <c r="G3" s="49"/>
      <c r="H3" s="5"/>
      <c r="I3" s="102"/>
      <c r="J3" s="5"/>
      <c r="K3" s="5"/>
      <c r="L3" s="6">
        <v>45</v>
      </c>
      <c r="M3" s="61">
        <v>25</v>
      </c>
      <c r="N3" s="6">
        <f t="shared" si="0"/>
        <v>14</v>
      </c>
    </row>
    <row r="4" spans="1:15">
      <c r="A4" s="2" t="s">
        <v>15</v>
      </c>
      <c r="B4" s="2"/>
      <c r="C4" s="4">
        <v>42272</v>
      </c>
      <c r="D4" s="4"/>
      <c r="E4" s="4">
        <v>42275</v>
      </c>
      <c r="F4" s="5">
        <v>50</v>
      </c>
      <c r="G4" s="49"/>
      <c r="H4" s="5"/>
      <c r="I4" s="102">
        <f>25/30*3</f>
        <v>2.5</v>
      </c>
      <c r="J4" s="5"/>
      <c r="K4" s="5">
        <f>F4+H4+J4</f>
        <v>50</v>
      </c>
      <c r="L4" s="6">
        <v>40</v>
      </c>
      <c r="M4" s="61">
        <v>25</v>
      </c>
      <c r="N4" s="6">
        <f t="shared" si="0"/>
        <v>10.5</v>
      </c>
    </row>
    <row r="5" spans="1:15">
      <c r="A5" s="2" t="s">
        <v>16</v>
      </c>
      <c r="B5" s="2"/>
      <c r="C5" s="2"/>
      <c r="D5" s="2"/>
      <c r="E5" s="4">
        <v>42396</v>
      </c>
      <c r="F5" s="5"/>
      <c r="G5" s="49"/>
      <c r="H5" s="5"/>
      <c r="I5" s="102"/>
      <c r="J5" s="5"/>
      <c r="K5" s="5"/>
      <c r="L5" s="6">
        <v>100</v>
      </c>
      <c r="M5" s="61">
        <v>45</v>
      </c>
      <c r="N5" s="6">
        <f t="shared" si="0"/>
        <v>38.5</v>
      </c>
    </row>
    <row r="6" spans="1:15">
      <c r="A6" s="2" t="s">
        <v>22</v>
      </c>
      <c r="B6" s="2"/>
      <c r="C6" s="4">
        <v>42546</v>
      </c>
      <c r="D6" s="4"/>
      <c r="E6" s="4">
        <v>42571</v>
      </c>
      <c r="F6" s="5"/>
      <c r="G6" s="49"/>
      <c r="H6" s="5">
        <f>6.9+8.5</f>
        <v>15.4</v>
      </c>
      <c r="I6" s="102">
        <f>25*25/30</f>
        <v>20.833333333333332</v>
      </c>
      <c r="J6" s="5"/>
      <c r="K6" s="5"/>
      <c r="L6" s="6">
        <v>120</v>
      </c>
      <c r="M6" s="61">
        <v>25</v>
      </c>
      <c r="N6" s="6">
        <f t="shared" si="0"/>
        <v>66.5</v>
      </c>
    </row>
    <row r="7" spans="1:15">
      <c r="A7" s="2" t="s">
        <v>23</v>
      </c>
      <c r="B7" s="2"/>
      <c r="C7" s="4">
        <v>42560</v>
      </c>
      <c r="D7" s="4"/>
      <c r="E7" s="4">
        <v>42571</v>
      </c>
      <c r="F7" s="5"/>
      <c r="G7" s="49"/>
      <c r="H7" s="5">
        <v>8.5</v>
      </c>
      <c r="I7" s="102">
        <f>25*41/30</f>
        <v>34.166666666666664</v>
      </c>
      <c r="J7" s="5"/>
      <c r="K7" s="5"/>
      <c r="L7" s="6">
        <v>107.5</v>
      </c>
      <c r="M7" s="61">
        <v>25</v>
      </c>
      <c r="N7" s="6">
        <f t="shared" si="0"/>
        <v>57.749999999999993</v>
      </c>
    </row>
    <row r="8" spans="1:15">
      <c r="A8" s="2" t="s">
        <v>24</v>
      </c>
      <c r="B8" s="2"/>
      <c r="C8" s="4">
        <v>42530</v>
      </c>
      <c r="D8" s="4"/>
      <c r="E8" s="4">
        <v>42579</v>
      </c>
      <c r="F8" s="5"/>
      <c r="G8" s="49"/>
      <c r="H8" s="5">
        <f>8.5+6.9</f>
        <v>15.4</v>
      </c>
      <c r="I8" s="102">
        <f>25*52/30</f>
        <v>43.333333333333336</v>
      </c>
      <c r="J8" s="5"/>
      <c r="K8" s="5"/>
      <c r="L8" s="6">
        <v>30</v>
      </c>
      <c r="M8" s="61">
        <v>7</v>
      </c>
      <c r="N8" s="6">
        <f t="shared" si="0"/>
        <v>16.099999999999998</v>
      </c>
    </row>
    <row r="9" spans="1:15">
      <c r="A9" s="2" t="s">
        <v>27</v>
      </c>
      <c r="B9" s="2"/>
      <c r="C9" s="4">
        <v>42656</v>
      </c>
      <c r="D9" s="4"/>
      <c r="E9" s="4">
        <v>42705</v>
      </c>
      <c r="F9" s="5"/>
      <c r="G9" s="49"/>
      <c r="H9" s="5">
        <v>8.17</v>
      </c>
      <c r="I9" s="102">
        <f>M9/30*47</f>
        <v>39.166666666666671</v>
      </c>
      <c r="J9" s="5"/>
      <c r="K9" s="5"/>
      <c r="L9" s="6">
        <v>40</v>
      </c>
      <c r="M9" s="62">
        <v>25</v>
      </c>
      <c r="N9" s="18">
        <f t="shared" si="0"/>
        <v>10.5</v>
      </c>
    </row>
    <row r="10" spans="1:15">
      <c r="A10" s="2" t="s">
        <v>29</v>
      </c>
      <c r="B10" s="2"/>
      <c r="C10" s="4">
        <v>42683</v>
      </c>
      <c r="D10" s="4"/>
      <c r="E10" s="4">
        <v>42718</v>
      </c>
      <c r="F10" s="5"/>
      <c r="G10" s="49"/>
      <c r="H10" s="5">
        <v>8.9700000000000006</v>
      </c>
      <c r="I10" s="102">
        <f>M10/30*35</f>
        <v>42</v>
      </c>
      <c r="J10" s="5"/>
      <c r="K10" s="5"/>
      <c r="L10" s="6">
        <f>105</f>
        <v>105</v>
      </c>
      <c r="M10" s="62">
        <v>36</v>
      </c>
      <c r="N10" s="18">
        <f t="shared" si="0"/>
        <v>48.3</v>
      </c>
    </row>
    <row r="11" spans="1:15">
      <c r="A11" s="2" t="s">
        <v>28</v>
      </c>
      <c r="B11" s="2"/>
      <c r="C11" s="4">
        <v>42711</v>
      </c>
      <c r="D11" s="4"/>
      <c r="E11" s="4">
        <v>42734</v>
      </c>
      <c r="F11" s="5"/>
      <c r="G11" s="49"/>
      <c r="H11" s="5">
        <v>8.17</v>
      </c>
      <c r="I11" s="102">
        <f>M11/30*23</f>
        <v>19.166666666666668</v>
      </c>
      <c r="J11" s="5"/>
      <c r="K11" s="5"/>
      <c r="L11" s="6">
        <v>40</v>
      </c>
      <c r="M11" s="62">
        <v>25</v>
      </c>
      <c r="N11" s="18">
        <f t="shared" si="0"/>
        <v>10.5</v>
      </c>
    </row>
    <row r="12" spans="1:15">
      <c r="A12" s="2" t="s">
        <v>32</v>
      </c>
      <c r="B12" s="2"/>
      <c r="C12" s="4">
        <v>42857</v>
      </c>
      <c r="D12" s="4"/>
      <c r="E12" s="4">
        <v>42866</v>
      </c>
      <c r="F12" s="5"/>
      <c r="G12" s="49"/>
      <c r="H12" s="5"/>
      <c r="I12" s="102">
        <f>23/30*9</f>
        <v>6.9</v>
      </c>
      <c r="J12" s="5">
        <f>60*0.7</f>
        <v>42</v>
      </c>
      <c r="K12" s="5"/>
      <c r="L12" s="6">
        <v>60</v>
      </c>
      <c r="M12" s="61">
        <v>23</v>
      </c>
      <c r="N12" s="6">
        <f t="shared" si="0"/>
        <v>25.9</v>
      </c>
    </row>
    <row r="13" spans="1:15">
      <c r="A13" s="2" t="s">
        <v>37</v>
      </c>
      <c r="B13" s="2"/>
      <c r="C13" s="4">
        <v>42891</v>
      </c>
      <c r="D13" s="4"/>
      <c r="E13" s="4">
        <v>42915</v>
      </c>
      <c r="F13" s="5"/>
      <c r="G13" s="49"/>
      <c r="H13" s="5">
        <v>6.83</v>
      </c>
      <c r="I13" s="102">
        <f>24/30*24</f>
        <v>19.200000000000003</v>
      </c>
      <c r="J13" s="5"/>
      <c r="K13" s="5"/>
      <c r="L13" s="6">
        <f>69+70</f>
        <v>139</v>
      </c>
      <c r="M13" s="61">
        <f>38+7+18</f>
        <v>63</v>
      </c>
      <c r="N13" s="6">
        <f t="shared" si="0"/>
        <v>53.199999999999996</v>
      </c>
    </row>
    <row r="14" spans="1:15">
      <c r="A14" s="2" t="s">
        <v>39</v>
      </c>
      <c r="B14" s="2"/>
      <c r="C14" s="4">
        <v>43081</v>
      </c>
      <c r="D14" s="4"/>
      <c r="E14" s="4">
        <v>43109</v>
      </c>
      <c r="F14" s="5"/>
      <c r="G14" s="49"/>
      <c r="H14" s="5">
        <v>9.83</v>
      </c>
      <c r="I14" s="102">
        <f>36/30*28</f>
        <v>33.6</v>
      </c>
      <c r="J14" s="5"/>
      <c r="K14" s="5"/>
      <c r="L14" s="6">
        <v>120</v>
      </c>
      <c r="M14" s="61">
        <v>36</v>
      </c>
      <c r="N14" s="6">
        <f t="shared" si="0"/>
        <v>58.8</v>
      </c>
    </row>
    <row r="15" spans="1:15">
      <c r="A15" s="22" t="s">
        <v>56</v>
      </c>
      <c r="B15" s="22"/>
      <c r="C15" s="4">
        <v>43361</v>
      </c>
      <c r="D15" s="4"/>
      <c r="E15" s="4">
        <v>43132</v>
      </c>
      <c r="F15" s="5"/>
      <c r="G15" s="49"/>
      <c r="H15" s="5">
        <v>14.11</v>
      </c>
      <c r="I15" s="102">
        <f>25*4+25/30*12</f>
        <v>110</v>
      </c>
      <c r="J15" s="5"/>
      <c r="K15" s="5"/>
      <c r="L15" s="6">
        <v>75</v>
      </c>
      <c r="M15" s="61">
        <v>25</v>
      </c>
      <c r="N15" s="6">
        <f t="shared" si="0"/>
        <v>35</v>
      </c>
    </row>
    <row r="16" spans="1:15">
      <c r="A16" s="2" t="s">
        <v>44</v>
      </c>
      <c r="B16" s="2"/>
      <c r="C16" s="4">
        <v>43196</v>
      </c>
      <c r="D16" s="4"/>
      <c r="E16" s="4">
        <v>43250</v>
      </c>
      <c r="F16" s="5"/>
      <c r="G16" s="49"/>
      <c r="H16" s="5">
        <v>13.78</v>
      </c>
      <c r="I16" s="102">
        <f>25*24/30+25</f>
        <v>45</v>
      </c>
      <c r="J16" s="5"/>
      <c r="K16" s="5"/>
      <c r="L16" s="6">
        <v>11</v>
      </c>
      <c r="M16" s="61">
        <v>25</v>
      </c>
      <c r="N16" s="6">
        <v>9.7999999999999989</v>
      </c>
    </row>
    <row r="17" spans="1:15">
      <c r="A17" s="22" t="s">
        <v>47</v>
      </c>
      <c r="B17" s="22"/>
      <c r="C17" s="4">
        <v>43355</v>
      </c>
      <c r="D17" s="4"/>
      <c r="E17" s="4">
        <v>43277</v>
      </c>
      <c r="F17" s="5"/>
      <c r="G17" s="49"/>
      <c r="H17" s="5">
        <v>19.98</v>
      </c>
      <c r="I17" s="102">
        <f>36*2+36/30*16</f>
        <v>91.2</v>
      </c>
      <c r="J17" s="5"/>
      <c r="K17" s="5"/>
      <c r="L17" s="6">
        <v>105</v>
      </c>
      <c r="M17" s="61">
        <v>36</v>
      </c>
      <c r="N17" s="6">
        <f t="shared" si="0"/>
        <v>48.3</v>
      </c>
    </row>
    <row r="18" spans="1:15">
      <c r="A18" s="22" t="s">
        <v>48</v>
      </c>
      <c r="B18" s="22"/>
      <c r="C18" s="4">
        <v>43367</v>
      </c>
      <c r="D18" s="4"/>
      <c r="E18" s="4">
        <v>43284</v>
      </c>
      <c r="F18" s="5"/>
      <c r="G18" s="49"/>
      <c r="H18" s="5">
        <v>9.1</v>
      </c>
      <c r="I18" s="102">
        <f>25+25/30*27</f>
        <v>47.5</v>
      </c>
      <c r="J18" s="5"/>
      <c r="K18" s="5"/>
      <c r="L18" s="6">
        <v>75</v>
      </c>
      <c r="M18" s="61">
        <v>25</v>
      </c>
      <c r="N18" s="6">
        <f t="shared" si="0"/>
        <v>35</v>
      </c>
    </row>
    <row r="19" spans="1:15">
      <c r="A19" s="2" t="s">
        <v>45</v>
      </c>
      <c r="B19" s="2"/>
      <c r="C19" s="4"/>
      <c r="D19" s="4"/>
      <c r="E19" s="4">
        <v>43286</v>
      </c>
      <c r="F19" s="5"/>
      <c r="G19" s="49"/>
      <c r="H19" s="5">
        <v>11.56</v>
      </c>
      <c r="I19" s="102"/>
      <c r="J19" s="5"/>
      <c r="K19" s="5"/>
      <c r="L19" s="6">
        <v>150</v>
      </c>
      <c r="M19" s="61">
        <v>76</v>
      </c>
      <c r="N19" s="6">
        <f t="shared" si="0"/>
        <v>51.8</v>
      </c>
      <c r="O19" s="20"/>
    </row>
    <row r="20" spans="1:15">
      <c r="A20" s="22" t="s">
        <v>49</v>
      </c>
      <c r="B20" s="22"/>
      <c r="C20" s="4">
        <v>43367</v>
      </c>
      <c r="D20" s="4"/>
      <c r="E20" s="4">
        <v>43291</v>
      </c>
      <c r="F20" s="5"/>
      <c r="G20" s="49"/>
      <c r="H20" s="5">
        <v>10.039999999999999</v>
      </c>
      <c r="I20" s="102">
        <f>50+25/30*14</f>
        <v>61.666666666666671</v>
      </c>
      <c r="J20" s="5"/>
      <c r="K20" s="5"/>
      <c r="L20" s="6">
        <v>50</v>
      </c>
      <c r="M20" s="61">
        <v>22</v>
      </c>
      <c r="N20" s="18">
        <f t="shared" si="0"/>
        <v>19.599999999999998</v>
      </c>
    </row>
    <row r="21" spans="1:15">
      <c r="A21" s="22" t="s">
        <v>51</v>
      </c>
      <c r="B21" s="22"/>
      <c r="C21" s="4">
        <v>43358</v>
      </c>
      <c r="D21" s="4"/>
      <c r="E21" s="4">
        <v>43291</v>
      </c>
      <c r="F21" s="5"/>
      <c r="G21" s="49"/>
      <c r="H21" s="5">
        <v>10.039999999999999</v>
      </c>
      <c r="I21" s="102">
        <f>50+25/30*5</f>
        <v>54.166666666666664</v>
      </c>
      <c r="J21" s="5"/>
      <c r="K21" s="5"/>
      <c r="L21" s="6">
        <v>75</v>
      </c>
      <c r="M21" s="61">
        <v>25</v>
      </c>
      <c r="N21" s="6">
        <f t="shared" si="0"/>
        <v>35</v>
      </c>
    </row>
    <row r="22" spans="1:15">
      <c r="A22" s="22" t="s">
        <v>52</v>
      </c>
      <c r="B22" s="22"/>
      <c r="C22" s="4">
        <v>43367</v>
      </c>
      <c r="D22" s="4"/>
      <c r="E22" s="4">
        <v>43308</v>
      </c>
      <c r="F22" s="5"/>
      <c r="G22" s="49"/>
      <c r="H22" s="5">
        <v>10.86</v>
      </c>
      <c r="I22" s="102">
        <f>25+25/30*27</f>
        <v>47.5</v>
      </c>
      <c r="J22" s="5"/>
      <c r="K22" s="5"/>
      <c r="L22" s="6">
        <v>75</v>
      </c>
      <c r="M22" s="61">
        <v>25</v>
      </c>
      <c r="N22" s="27">
        <f t="shared" si="0"/>
        <v>35</v>
      </c>
    </row>
    <row r="23" spans="1:15">
      <c r="A23" s="22" t="s">
        <v>50</v>
      </c>
      <c r="B23" s="22"/>
      <c r="C23" s="4">
        <v>43367</v>
      </c>
      <c r="D23" s="4"/>
      <c r="E23" s="4">
        <v>43312</v>
      </c>
      <c r="F23" s="5"/>
      <c r="G23" s="49"/>
      <c r="H23" s="5">
        <v>10.86</v>
      </c>
      <c r="I23" s="102">
        <f>25+25/30*24</f>
        <v>45</v>
      </c>
      <c r="J23" s="5"/>
      <c r="K23" s="5"/>
      <c r="L23" s="6">
        <v>70</v>
      </c>
      <c r="M23" s="61">
        <v>25</v>
      </c>
      <c r="N23" s="6">
        <f t="shared" si="0"/>
        <v>31.499999999999996</v>
      </c>
    </row>
    <row r="24" spans="1:15">
      <c r="A24" s="22" t="s">
        <v>55</v>
      </c>
      <c r="B24" s="22"/>
      <c r="C24" s="4">
        <v>43363</v>
      </c>
      <c r="D24" s="4"/>
      <c r="E24" s="4">
        <v>43440</v>
      </c>
      <c r="F24" s="5"/>
      <c r="G24" s="49"/>
      <c r="H24" s="5">
        <v>14.11</v>
      </c>
      <c r="I24" s="102">
        <f>25*2+25*16/30</f>
        <v>63.333333333333336</v>
      </c>
      <c r="J24" s="5"/>
      <c r="K24" s="5"/>
      <c r="L24" s="6">
        <v>75</v>
      </c>
      <c r="M24" s="61">
        <v>25</v>
      </c>
      <c r="N24" s="6">
        <f t="shared" si="0"/>
        <v>35</v>
      </c>
    </row>
    <row r="25" spans="1:15">
      <c r="A25" s="22" t="s">
        <v>59</v>
      </c>
      <c r="B25" s="22"/>
      <c r="C25" s="4">
        <v>43528</v>
      </c>
      <c r="D25" s="4"/>
      <c r="E25" s="4">
        <v>43538</v>
      </c>
      <c r="F25" s="5"/>
      <c r="G25" s="49"/>
      <c r="H25" s="5">
        <v>14.92</v>
      </c>
      <c r="I25" s="102">
        <f>77/30*10</f>
        <v>25.666666666666668</v>
      </c>
      <c r="J25" s="5"/>
      <c r="K25" s="5"/>
      <c r="L25" s="6">
        <v>169</v>
      </c>
      <c r="M25" s="61">
        <f>64+11+2</f>
        <v>77</v>
      </c>
      <c r="N25" s="6">
        <f t="shared" si="0"/>
        <v>64.399999999999991</v>
      </c>
    </row>
    <row r="26" spans="1:15">
      <c r="A26" s="22" t="s">
        <v>58</v>
      </c>
      <c r="B26" s="22"/>
      <c r="C26" s="4">
        <v>43534</v>
      </c>
      <c r="D26" s="4"/>
      <c r="E26" s="4">
        <v>43542</v>
      </c>
      <c r="F26" s="5"/>
      <c r="G26" s="49"/>
      <c r="H26" s="5">
        <f>10.86*2</f>
        <v>21.72</v>
      </c>
      <c r="I26" s="102">
        <v>0</v>
      </c>
      <c r="J26" s="5"/>
      <c r="K26" s="5"/>
      <c r="L26" s="6">
        <v>50</v>
      </c>
      <c r="M26" s="61">
        <v>7</v>
      </c>
      <c r="N26" s="6">
        <f>(L26-M26)*0.7</f>
        <v>30.099999999999998</v>
      </c>
    </row>
    <row r="27" spans="1:15">
      <c r="A27" s="22" t="s">
        <v>61</v>
      </c>
      <c r="B27" s="22"/>
      <c r="C27" s="4">
        <v>43482</v>
      </c>
      <c r="D27" s="4"/>
      <c r="E27" s="4">
        <v>43542</v>
      </c>
      <c r="F27" s="5"/>
      <c r="G27" s="49"/>
      <c r="H27" s="5">
        <v>11.1</v>
      </c>
      <c r="I27" s="102">
        <f>25*2</f>
        <v>50</v>
      </c>
      <c r="J27" s="5"/>
      <c r="K27" s="5"/>
      <c r="L27" s="6">
        <v>70</v>
      </c>
      <c r="M27" s="61">
        <v>26</v>
      </c>
      <c r="N27" s="6">
        <f t="shared" si="0"/>
        <v>30.799999999999997</v>
      </c>
    </row>
    <row r="28" spans="1:15">
      <c r="A28" s="22" t="s">
        <v>64</v>
      </c>
      <c r="B28" s="22"/>
      <c r="C28" s="4">
        <v>43627</v>
      </c>
      <c r="D28" s="4"/>
      <c r="E28" s="4">
        <v>43629</v>
      </c>
      <c r="F28" s="5"/>
      <c r="G28" s="49"/>
      <c r="H28" s="5">
        <v>10.86</v>
      </c>
      <c r="I28" s="102">
        <f>25/30*2</f>
        <v>1.6666666666666667</v>
      </c>
      <c r="J28" s="5"/>
      <c r="K28" s="5">
        <f>H28+I28</f>
        <v>12.526666666666666</v>
      </c>
      <c r="L28" s="6">
        <v>200</v>
      </c>
      <c r="M28" s="61">
        <v>11</v>
      </c>
      <c r="N28" s="5">
        <f t="shared" ref="N28:N39" si="1">(L28-M28)*0.7</f>
        <v>132.29999999999998</v>
      </c>
    </row>
    <row r="29" spans="1:15">
      <c r="A29" s="22" t="s">
        <v>65</v>
      </c>
      <c r="B29" s="22"/>
      <c r="C29" s="4">
        <v>43622</v>
      </c>
      <c r="D29" s="4"/>
      <c r="E29" s="4">
        <v>43650</v>
      </c>
      <c r="F29" s="5"/>
      <c r="G29" s="49"/>
      <c r="H29" s="5">
        <v>10.86</v>
      </c>
      <c r="I29" s="102"/>
      <c r="J29" s="5"/>
      <c r="K29" s="5"/>
      <c r="L29" s="6">
        <v>120</v>
      </c>
      <c r="M29" s="61">
        <v>60</v>
      </c>
      <c r="N29" s="6">
        <f t="shared" si="1"/>
        <v>42</v>
      </c>
    </row>
    <row r="30" spans="1:15">
      <c r="A30" s="22" t="s">
        <v>71</v>
      </c>
      <c r="B30" s="22"/>
      <c r="C30" s="4">
        <v>43635</v>
      </c>
      <c r="D30" s="4"/>
      <c r="E30" s="4">
        <v>43662</v>
      </c>
      <c r="F30" s="5"/>
      <c r="G30" s="49"/>
      <c r="H30" s="5">
        <f>10.86*2</f>
        <v>21.72</v>
      </c>
      <c r="I30" s="102"/>
      <c r="J30" s="5"/>
      <c r="K30" s="5"/>
      <c r="L30" s="6">
        <v>70</v>
      </c>
      <c r="M30" s="61">
        <v>26</v>
      </c>
      <c r="N30" s="6">
        <f t="shared" si="1"/>
        <v>30.799999999999997</v>
      </c>
      <c r="O30" t="s">
        <v>72</v>
      </c>
    </row>
    <row r="31" spans="1:15">
      <c r="A31" s="2" t="s">
        <v>75</v>
      </c>
      <c r="B31" s="2"/>
      <c r="C31" s="4">
        <v>43656</v>
      </c>
      <c r="D31" s="4"/>
      <c r="E31" s="4">
        <v>43711</v>
      </c>
      <c r="F31" s="5"/>
      <c r="G31" s="49"/>
      <c r="H31" s="5">
        <v>10.86</v>
      </c>
      <c r="I31" s="102">
        <f>36/30*48</f>
        <v>57.599999999999994</v>
      </c>
      <c r="J31" s="5"/>
      <c r="K31" s="5"/>
      <c r="L31" s="6">
        <v>145</v>
      </c>
      <c r="M31" s="61">
        <f>36+18</f>
        <v>54</v>
      </c>
      <c r="N31" s="6">
        <f t="shared" si="1"/>
        <v>63.699999999999996</v>
      </c>
    </row>
    <row r="32" spans="1:15">
      <c r="A32" s="2" t="s">
        <v>76</v>
      </c>
      <c r="B32" s="2"/>
      <c r="C32" s="4">
        <v>43677</v>
      </c>
      <c r="D32" s="4"/>
      <c r="E32" s="4">
        <v>43713</v>
      </c>
      <c r="F32" s="5"/>
      <c r="G32" s="49"/>
      <c r="H32" s="5">
        <v>24.06</v>
      </c>
      <c r="I32" s="102">
        <f>80/30*35</f>
        <v>93.333333333333329</v>
      </c>
      <c r="J32" s="5">
        <v>40</v>
      </c>
      <c r="K32" s="5"/>
      <c r="L32" s="6">
        <v>149</v>
      </c>
      <c r="M32" s="61">
        <v>80</v>
      </c>
      <c r="N32" s="6">
        <f t="shared" si="1"/>
        <v>48.3</v>
      </c>
      <c r="O32" t="s">
        <v>79</v>
      </c>
    </row>
    <row r="33" spans="1:16">
      <c r="A33" s="10" t="s">
        <v>81</v>
      </c>
      <c r="B33" s="10"/>
      <c r="C33" s="11">
        <v>45444</v>
      </c>
      <c r="D33" s="11"/>
      <c r="E33" s="11">
        <v>45408</v>
      </c>
      <c r="F33" s="12"/>
      <c r="G33" s="12"/>
      <c r="H33" s="12"/>
      <c r="I33" s="106">
        <f>43/30*34</f>
        <v>48.733333333333334</v>
      </c>
      <c r="J33" s="12"/>
      <c r="K33" s="12"/>
      <c r="L33" s="12">
        <v>129</v>
      </c>
      <c r="M33" s="107">
        <v>61</v>
      </c>
      <c r="N33" s="12">
        <f t="shared" si="1"/>
        <v>47.599999999999994</v>
      </c>
    </row>
    <row r="34" spans="1:16">
      <c r="A34" s="22" t="s">
        <v>87</v>
      </c>
      <c r="B34" s="22"/>
      <c r="C34" s="35">
        <v>43878</v>
      </c>
      <c r="D34" s="35"/>
      <c r="E34" s="35">
        <v>43892</v>
      </c>
      <c r="F34" s="5"/>
      <c r="G34" s="49"/>
      <c r="H34" s="5">
        <v>12.19</v>
      </c>
      <c r="I34" s="102">
        <v>5.5</v>
      </c>
      <c r="J34" s="5"/>
      <c r="K34" s="5"/>
      <c r="L34" s="6">
        <v>25</v>
      </c>
      <c r="M34" s="61">
        <v>11</v>
      </c>
      <c r="N34" s="6">
        <f t="shared" si="1"/>
        <v>9.7999999999999989</v>
      </c>
    </row>
    <row r="35" spans="1:16">
      <c r="A35" s="22" t="s">
        <v>89</v>
      </c>
      <c r="B35" s="22"/>
      <c r="C35" s="35">
        <v>43908</v>
      </c>
      <c r="D35" s="35"/>
      <c r="E35" s="35">
        <v>43893</v>
      </c>
      <c r="F35" s="5"/>
      <c r="G35" s="49"/>
      <c r="H35" s="5">
        <v>9.6</v>
      </c>
      <c r="I35" s="102">
        <v>5.5</v>
      </c>
      <c r="J35" s="5"/>
      <c r="K35" s="5"/>
      <c r="L35" s="6">
        <v>25</v>
      </c>
      <c r="M35" s="61">
        <v>11</v>
      </c>
      <c r="N35" s="6">
        <f t="shared" si="1"/>
        <v>9.7999999999999989</v>
      </c>
    </row>
    <row r="36" spans="1:16">
      <c r="A36" s="22" t="s">
        <v>85</v>
      </c>
      <c r="B36" s="22"/>
      <c r="C36" s="35">
        <v>43881</v>
      </c>
      <c r="D36" s="35"/>
      <c r="E36" s="35">
        <v>43895</v>
      </c>
      <c r="F36" s="5"/>
      <c r="G36" s="49"/>
      <c r="H36" s="5">
        <v>9.14</v>
      </c>
      <c r="I36" s="102">
        <f>11/30*15</f>
        <v>5.5</v>
      </c>
      <c r="J36" s="5"/>
      <c r="K36" s="5"/>
      <c r="L36" s="6">
        <v>25</v>
      </c>
      <c r="M36" s="61">
        <v>11</v>
      </c>
      <c r="N36" s="6">
        <f t="shared" si="1"/>
        <v>9.7999999999999989</v>
      </c>
    </row>
    <row r="37" spans="1:16">
      <c r="A37" s="39" t="s">
        <v>82</v>
      </c>
      <c r="B37" s="28"/>
      <c r="C37" s="36">
        <v>40235</v>
      </c>
      <c r="D37" s="36"/>
      <c r="E37" s="36">
        <v>43901</v>
      </c>
      <c r="F37" s="5"/>
      <c r="G37" s="34"/>
      <c r="H37" s="37">
        <v>9.6</v>
      </c>
      <c r="I37" s="102">
        <f>11/2</f>
        <v>5.5</v>
      </c>
      <c r="J37" s="5"/>
      <c r="K37" s="5"/>
      <c r="L37" s="17">
        <v>25</v>
      </c>
      <c r="M37" s="63">
        <v>11</v>
      </c>
      <c r="N37" s="26">
        <f t="shared" si="1"/>
        <v>9.7999999999999989</v>
      </c>
    </row>
    <row r="38" spans="1:16">
      <c r="A38" s="22" t="s">
        <v>80</v>
      </c>
      <c r="B38" s="22"/>
      <c r="C38" s="35">
        <v>43873</v>
      </c>
      <c r="D38" s="35"/>
      <c r="E38" s="35">
        <v>43910</v>
      </c>
      <c r="F38" s="5"/>
      <c r="G38" s="49"/>
      <c r="H38" s="5">
        <v>21.84</v>
      </c>
      <c r="I38" s="102">
        <f>56/30*38</f>
        <v>70.933333333333337</v>
      </c>
      <c r="J38" s="5"/>
      <c r="K38" s="5"/>
      <c r="L38" s="6">
        <v>80</v>
      </c>
      <c r="M38" s="61">
        <v>47</v>
      </c>
      <c r="N38" s="6">
        <f t="shared" si="1"/>
        <v>23.099999999999998</v>
      </c>
    </row>
    <row r="39" spans="1:16">
      <c r="A39" s="22" t="s">
        <v>88</v>
      </c>
      <c r="B39" s="22"/>
      <c r="C39" s="35">
        <v>43855</v>
      </c>
      <c r="D39" s="35"/>
      <c r="E39" s="35">
        <v>43941</v>
      </c>
      <c r="F39" s="5"/>
      <c r="G39" s="49"/>
      <c r="H39" s="5">
        <v>13.93</v>
      </c>
      <c r="I39" s="102">
        <f>56/30*85</f>
        <v>158.66666666666666</v>
      </c>
      <c r="J39" s="5"/>
      <c r="K39" s="5"/>
      <c r="L39" s="6">
        <v>110</v>
      </c>
      <c r="M39" s="61">
        <v>56</v>
      </c>
      <c r="N39" s="6">
        <f t="shared" si="1"/>
        <v>37.799999999999997</v>
      </c>
    </row>
    <row r="40" spans="1:16">
      <c r="A40" s="22" t="s">
        <v>90</v>
      </c>
      <c r="B40" s="22"/>
      <c r="C40" s="35" t="s">
        <v>96</v>
      </c>
      <c r="D40" s="35"/>
      <c r="E40" s="35">
        <v>44015</v>
      </c>
      <c r="F40" s="5" t="s">
        <v>160</v>
      </c>
      <c r="G40" s="49">
        <v>12.5</v>
      </c>
      <c r="H40" s="5">
        <v>11.29</v>
      </c>
      <c r="I40" s="102">
        <f>100</f>
        <v>100</v>
      </c>
      <c r="J40" s="5"/>
      <c r="K40" s="5"/>
      <c r="L40" s="6">
        <v>105</v>
      </c>
      <c r="M40" s="61">
        <f>25+11+22</f>
        <v>58</v>
      </c>
      <c r="N40" s="6">
        <f>12.5+(92.5-M40)*0.7</f>
        <v>36.65</v>
      </c>
      <c r="P40" s="41"/>
    </row>
    <row r="41" spans="1:16">
      <c r="A41" s="22" t="s">
        <v>97</v>
      </c>
      <c r="B41" s="22"/>
      <c r="C41" s="35">
        <v>43990</v>
      </c>
      <c r="D41" s="35"/>
      <c r="E41" s="35">
        <v>44036</v>
      </c>
      <c r="F41" s="5"/>
      <c r="G41" s="49"/>
      <c r="H41" s="5">
        <v>8.75</v>
      </c>
      <c r="I41" s="102">
        <f>56/30*46</f>
        <v>85.866666666666674</v>
      </c>
      <c r="J41" s="5"/>
      <c r="K41" s="5"/>
      <c r="L41" s="6">
        <v>129</v>
      </c>
      <c r="M41" s="61">
        <v>52.5</v>
      </c>
      <c r="N41" s="6">
        <f>(L41-M41)*0.7</f>
        <v>53.55</v>
      </c>
    </row>
    <row r="42" spans="1:16">
      <c r="A42" s="22" t="s">
        <v>95</v>
      </c>
      <c r="B42" s="22"/>
      <c r="C42" s="35">
        <v>44028</v>
      </c>
      <c r="D42" s="35"/>
      <c r="E42" s="35">
        <v>44040</v>
      </c>
      <c r="F42" s="5"/>
      <c r="G42" s="49"/>
      <c r="H42" s="5">
        <v>8.75</v>
      </c>
      <c r="I42" s="102">
        <f>41/30*12</f>
        <v>16.399999999999999</v>
      </c>
      <c r="J42" s="5"/>
      <c r="K42" s="5"/>
      <c r="L42" s="6">
        <v>60</v>
      </c>
      <c r="M42" s="61">
        <v>41</v>
      </c>
      <c r="N42" s="6">
        <f>(L42-M42)*0.7</f>
        <v>13.299999999999999</v>
      </c>
    </row>
    <row r="43" spans="1:16">
      <c r="A43" s="2" t="s">
        <v>102</v>
      </c>
      <c r="B43" s="2"/>
      <c r="C43" s="4" t="s">
        <v>103</v>
      </c>
      <c r="D43" s="4"/>
      <c r="E43" s="4">
        <v>44110</v>
      </c>
      <c r="F43" s="5" t="s">
        <v>160</v>
      </c>
      <c r="G43" s="49">
        <v>10</v>
      </c>
      <c r="H43" s="5">
        <v>36.65</v>
      </c>
      <c r="I43" s="102">
        <f>115/30*26</f>
        <v>99.666666666666671</v>
      </c>
      <c r="J43" s="5"/>
      <c r="K43" s="5"/>
      <c r="L43" s="6">
        <v>180</v>
      </c>
      <c r="M43" s="61">
        <v>115</v>
      </c>
      <c r="N43" s="6">
        <f>10+55*0.7</f>
        <v>48.5</v>
      </c>
      <c r="P43" s="41"/>
    </row>
    <row r="44" spans="1:16">
      <c r="A44" s="2" t="s">
        <v>94</v>
      </c>
      <c r="B44" s="2"/>
      <c r="C44" s="35">
        <v>44124</v>
      </c>
      <c r="D44" s="35"/>
      <c r="E44" s="35">
        <v>44124</v>
      </c>
      <c r="F44" s="5"/>
      <c r="G44" s="49"/>
      <c r="H44" s="5">
        <v>7.25</v>
      </c>
      <c r="I44" s="102">
        <v>0</v>
      </c>
      <c r="J44" s="5"/>
      <c r="K44" s="5"/>
      <c r="L44" s="6">
        <v>25</v>
      </c>
      <c r="M44" s="61">
        <v>11</v>
      </c>
      <c r="N44" s="6">
        <f>(L44-M44)*0.7</f>
        <v>9.7999999999999989</v>
      </c>
    </row>
    <row r="45" spans="1:16">
      <c r="A45" s="22" t="s">
        <v>104</v>
      </c>
      <c r="B45" s="22"/>
      <c r="C45" s="4">
        <v>44159</v>
      </c>
      <c r="D45" s="4"/>
      <c r="E45" s="4">
        <v>44187</v>
      </c>
      <c r="F45" s="40"/>
      <c r="G45" s="2"/>
      <c r="H45" s="5">
        <v>13.93</v>
      </c>
      <c r="I45" s="102">
        <f>36/30*28</f>
        <v>33.6</v>
      </c>
      <c r="J45" s="5"/>
      <c r="K45" s="5"/>
      <c r="L45" s="6">
        <v>110</v>
      </c>
      <c r="M45" s="61">
        <f>25+11</f>
        <v>36</v>
      </c>
      <c r="N45" s="6">
        <f>(L45-M45)*0.7</f>
        <v>51.8</v>
      </c>
    </row>
    <row r="46" spans="1:16">
      <c r="A46" s="22" t="s">
        <v>108</v>
      </c>
      <c r="B46" s="22"/>
      <c r="C46" s="4">
        <v>44185</v>
      </c>
      <c r="D46" s="4"/>
      <c r="E46" s="4">
        <v>44242</v>
      </c>
      <c r="F46" s="5" t="s">
        <v>160</v>
      </c>
      <c r="G46" s="49">
        <v>20</v>
      </c>
      <c r="H46" s="5">
        <v>26.48</v>
      </c>
      <c r="I46" s="102">
        <f>50/30*55</f>
        <v>91.666666666666671</v>
      </c>
      <c r="J46" s="5">
        <v>160</v>
      </c>
      <c r="K46" s="5"/>
      <c r="L46" s="6">
        <v>130</v>
      </c>
      <c r="M46" s="61">
        <v>34</v>
      </c>
      <c r="N46" s="5">
        <f>(20+(110-34)*0.7)</f>
        <v>73.199999999999989</v>
      </c>
      <c r="O46" s="1" t="s">
        <v>145</v>
      </c>
    </row>
    <row r="47" spans="1:16">
      <c r="A47" s="2" t="s">
        <v>113</v>
      </c>
      <c r="B47" s="2"/>
      <c r="C47" s="4">
        <v>44245</v>
      </c>
      <c r="D47" s="4"/>
      <c r="E47" s="4">
        <v>44271</v>
      </c>
      <c r="F47" s="5" t="s">
        <v>160</v>
      </c>
      <c r="G47" s="49">
        <v>15</v>
      </c>
      <c r="H47" s="5">
        <v>26.76</v>
      </c>
      <c r="I47" s="102">
        <f>67/30*28</f>
        <v>62.533333333333331</v>
      </c>
      <c r="J47" s="5"/>
      <c r="K47" s="5"/>
      <c r="L47" s="6">
        <v>140</v>
      </c>
      <c r="M47" s="61">
        <v>67</v>
      </c>
      <c r="N47" s="6">
        <f>(15+0.7*58)</f>
        <v>55.599999999999994</v>
      </c>
    </row>
    <row r="48" spans="1:16">
      <c r="A48" s="2" t="s">
        <v>112</v>
      </c>
      <c r="B48" s="2"/>
      <c r="C48" s="4">
        <v>44270</v>
      </c>
      <c r="D48" s="4"/>
      <c r="E48" s="4">
        <v>44286</v>
      </c>
      <c r="F48" s="5" t="s">
        <v>160</v>
      </c>
      <c r="G48" s="49">
        <v>17.5</v>
      </c>
      <c r="H48" s="5">
        <v>31.96</v>
      </c>
      <c r="I48" s="102">
        <f>55/30*16</f>
        <v>29.333333333333332</v>
      </c>
      <c r="J48" s="5">
        <v>75</v>
      </c>
      <c r="K48" s="5"/>
      <c r="L48" s="6">
        <v>100</v>
      </c>
      <c r="M48" s="61">
        <v>55</v>
      </c>
      <c r="N48" s="6">
        <f>(17.5+27.5*0.7)</f>
        <v>36.75</v>
      </c>
    </row>
    <row r="49" spans="1:16">
      <c r="A49" s="22" t="s">
        <v>121</v>
      </c>
      <c r="B49" s="22"/>
      <c r="C49" s="4">
        <v>44316</v>
      </c>
      <c r="D49" s="4"/>
      <c r="E49" s="4">
        <v>44354</v>
      </c>
      <c r="F49" s="40"/>
      <c r="G49" s="2"/>
      <c r="H49" s="5">
        <v>15.15</v>
      </c>
      <c r="I49" s="102">
        <f>36/30*37</f>
        <v>44.4</v>
      </c>
      <c r="J49" s="5"/>
      <c r="K49" s="5"/>
      <c r="L49" s="6">
        <v>110</v>
      </c>
      <c r="M49" s="61">
        <v>36</v>
      </c>
      <c r="N49" s="5">
        <f>(L49-M49)*0.7</f>
        <v>51.8</v>
      </c>
      <c r="O49" s="1" t="s">
        <v>145</v>
      </c>
    </row>
    <row r="50" spans="1:16">
      <c r="A50" s="22" t="s">
        <v>533</v>
      </c>
      <c r="B50" s="22"/>
      <c r="C50" s="4">
        <v>44336</v>
      </c>
      <c r="D50" s="4"/>
      <c r="E50" s="4">
        <v>44370</v>
      </c>
      <c r="F50" s="5" t="s">
        <v>161</v>
      </c>
      <c r="G50" s="49">
        <v>17.5</v>
      </c>
      <c r="H50" s="5">
        <v>35.78</v>
      </c>
      <c r="I50" s="102">
        <f>58/30*33</f>
        <v>63.8</v>
      </c>
      <c r="J50" s="5">
        <v>50</v>
      </c>
      <c r="K50" s="5"/>
      <c r="L50" s="6">
        <v>120</v>
      </c>
      <c r="M50" s="61">
        <v>15</v>
      </c>
      <c r="N50" s="6">
        <f>(L50-M50)*0.7</f>
        <v>73.5</v>
      </c>
    </row>
    <row r="51" spans="1:16">
      <c r="A51" s="44" t="s">
        <v>125</v>
      </c>
      <c r="B51" s="44"/>
      <c r="C51" s="4">
        <v>44342</v>
      </c>
      <c r="D51" s="4"/>
      <c r="E51" s="4">
        <v>44386</v>
      </c>
      <c r="F51" s="5" t="s">
        <v>160</v>
      </c>
      <c r="G51" s="49">
        <v>12.5</v>
      </c>
      <c r="H51" s="5">
        <v>15.46</v>
      </c>
      <c r="I51" s="102">
        <f>36/30*43</f>
        <v>51.6</v>
      </c>
      <c r="J51" s="5">
        <f>50+45</f>
        <v>95</v>
      </c>
      <c r="K51" s="5"/>
      <c r="L51" s="6">
        <v>80</v>
      </c>
      <c r="M51" s="61">
        <v>33</v>
      </c>
      <c r="N51" s="6">
        <f>12.5+(L51-M51-12.5)*0.7</f>
        <v>36.65</v>
      </c>
    </row>
    <row r="52" spans="1:16">
      <c r="A52" s="44" t="s">
        <v>132</v>
      </c>
      <c r="B52" s="44"/>
      <c r="C52" s="4">
        <v>44407</v>
      </c>
      <c r="D52" s="4"/>
      <c r="E52" s="4">
        <v>44461</v>
      </c>
      <c r="F52" s="40"/>
      <c r="G52" s="2"/>
      <c r="H52" s="5">
        <v>9.8800000000000008</v>
      </c>
      <c r="I52" s="102">
        <f>25/30*52</f>
        <v>43.333333333333336</v>
      </c>
      <c r="J52" s="5"/>
      <c r="K52" s="5"/>
      <c r="L52" s="6">
        <v>40</v>
      </c>
      <c r="M52" s="61">
        <v>25</v>
      </c>
      <c r="N52" s="6">
        <f>(L52-M52)*0.7</f>
        <v>10.5</v>
      </c>
    </row>
    <row r="53" spans="1:16">
      <c r="A53" s="52" t="s">
        <v>141</v>
      </c>
      <c r="B53" s="52"/>
      <c r="C53" s="57">
        <v>44459</v>
      </c>
      <c r="D53" s="57"/>
      <c r="E53" s="57">
        <v>44481</v>
      </c>
      <c r="F53" s="10" t="s">
        <v>161</v>
      </c>
      <c r="G53" s="12">
        <v>10</v>
      </c>
      <c r="H53" s="25">
        <v>15.15</v>
      </c>
      <c r="I53" s="103">
        <f>46/30*22</f>
        <v>33.733333333333334</v>
      </c>
      <c r="J53" s="25">
        <v>80</v>
      </c>
      <c r="K53" s="25"/>
      <c r="L53" s="27">
        <v>120</v>
      </c>
      <c r="M53" s="64">
        <v>46</v>
      </c>
      <c r="N53" s="27">
        <f>10+(120-56)*0.7</f>
        <v>54.8</v>
      </c>
    </row>
    <row r="54" spans="1:16">
      <c r="A54" s="52" t="s">
        <v>140</v>
      </c>
      <c r="B54" s="52"/>
      <c r="C54" s="57">
        <v>44449</v>
      </c>
      <c r="D54" s="57"/>
      <c r="E54" s="57">
        <v>44482</v>
      </c>
      <c r="F54" s="25" t="s">
        <v>160</v>
      </c>
      <c r="G54" s="58">
        <v>10</v>
      </c>
      <c r="H54" s="25">
        <v>13.4</v>
      </c>
      <c r="I54" s="103">
        <f>60/30*33</f>
        <v>66</v>
      </c>
      <c r="J54" s="25">
        <v>80</v>
      </c>
      <c r="K54" s="25"/>
      <c r="L54" s="27">
        <v>120</v>
      </c>
      <c r="M54" s="64">
        <v>61</v>
      </c>
      <c r="N54" s="27">
        <f>(10+49*0.7)</f>
        <v>44.3</v>
      </c>
    </row>
    <row r="55" spans="1:16">
      <c r="A55" s="44" t="s">
        <v>137</v>
      </c>
      <c r="B55" s="44"/>
      <c r="C55" s="35">
        <v>44474</v>
      </c>
      <c r="D55" s="35"/>
      <c r="E55" s="35">
        <v>44487</v>
      </c>
      <c r="F55" s="10" t="s">
        <v>161</v>
      </c>
      <c r="G55" s="12">
        <v>12.5</v>
      </c>
      <c r="H55" s="5">
        <v>15.15</v>
      </c>
      <c r="I55" s="102">
        <f>71/30*13</f>
        <v>30.766666666666666</v>
      </c>
      <c r="J55" s="5">
        <v>95</v>
      </c>
      <c r="K55" s="5"/>
      <c r="L55" s="6">
        <v>140</v>
      </c>
      <c r="M55" s="61">
        <v>71</v>
      </c>
      <c r="N55" s="6">
        <f>12.5+(56.5)*0.7</f>
        <v>52.05</v>
      </c>
    </row>
    <row r="56" spans="1:16">
      <c r="A56" s="44" t="s">
        <v>139</v>
      </c>
      <c r="B56" s="44"/>
      <c r="C56" s="35">
        <v>44492</v>
      </c>
      <c r="D56" s="35"/>
      <c r="E56" s="35">
        <v>44539</v>
      </c>
      <c r="F56" s="40"/>
      <c r="G56" s="49"/>
      <c r="H56" s="5">
        <v>16.350000000000001</v>
      </c>
      <c r="I56" s="102">
        <f>71/30*46</f>
        <v>108.86666666666667</v>
      </c>
      <c r="J56" s="5">
        <v>95</v>
      </c>
      <c r="K56" s="5"/>
      <c r="L56" s="6">
        <v>140</v>
      </c>
      <c r="M56" s="61">
        <v>71</v>
      </c>
      <c r="N56" s="12">
        <f>(140-71)*0.7</f>
        <v>48.3</v>
      </c>
      <c r="O56" s="72" t="s">
        <v>329</v>
      </c>
      <c r="P56" s="72">
        <v>33.81</v>
      </c>
    </row>
    <row r="57" spans="1:16">
      <c r="A57" s="44" t="s">
        <v>149</v>
      </c>
      <c r="B57" s="44"/>
      <c r="C57" s="35">
        <v>44880</v>
      </c>
      <c r="D57" s="35"/>
      <c r="E57" s="35">
        <v>44575</v>
      </c>
      <c r="F57" s="40"/>
      <c r="G57" s="49"/>
      <c r="H57" s="5">
        <v>13.4</v>
      </c>
      <c r="I57" s="102"/>
      <c r="J57" s="5">
        <v>50</v>
      </c>
      <c r="K57" s="5"/>
      <c r="L57" s="6">
        <v>160</v>
      </c>
      <c r="M57" s="61">
        <f>71+9</f>
        <v>80</v>
      </c>
      <c r="N57" s="6">
        <f>(160-80)*0.7</f>
        <v>56</v>
      </c>
    </row>
    <row r="58" spans="1:16">
      <c r="A58" s="44" t="s">
        <v>146</v>
      </c>
      <c r="B58" s="44"/>
      <c r="C58" s="4">
        <v>44586</v>
      </c>
      <c r="D58" s="4"/>
      <c r="E58" s="4">
        <v>44615</v>
      </c>
      <c r="F58" s="10" t="s">
        <v>161</v>
      </c>
      <c r="G58" s="12">
        <v>12.5</v>
      </c>
      <c r="H58" s="5">
        <v>15.46</v>
      </c>
      <c r="I58" s="102">
        <f>27/30*28</f>
        <v>25.2</v>
      </c>
      <c r="J58" s="5">
        <v>110</v>
      </c>
      <c r="K58" s="5"/>
      <c r="L58" s="6">
        <v>154</v>
      </c>
      <c r="M58" s="61">
        <v>72</v>
      </c>
      <c r="N58" s="6">
        <f>12.5+(154-12.5-62)*0.7</f>
        <v>68.150000000000006</v>
      </c>
    </row>
    <row r="59" spans="1:16">
      <c r="A59" s="44" t="s">
        <v>153</v>
      </c>
      <c r="B59" s="44"/>
      <c r="C59" s="4">
        <v>44623</v>
      </c>
      <c r="D59" s="4"/>
      <c r="E59" s="4">
        <v>44623</v>
      </c>
      <c r="F59" s="40"/>
      <c r="G59" s="40"/>
      <c r="H59" s="5">
        <v>11.03</v>
      </c>
      <c r="I59" s="102">
        <v>0</v>
      </c>
      <c r="J59" s="5">
        <v>15</v>
      </c>
      <c r="K59" s="5"/>
      <c r="L59" s="6">
        <v>30</v>
      </c>
      <c r="M59" s="61">
        <v>12</v>
      </c>
      <c r="N59" s="6">
        <f>(L59-M59)*0.7</f>
        <v>12.6</v>
      </c>
    </row>
    <row r="60" spans="1:16">
      <c r="A60" s="44" t="s">
        <v>157</v>
      </c>
      <c r="B60" s="44"/>
      <c r="C60" s="4">
        <v>44627</v>
      </c>
      <c r="D60" s="4"/>
      <c r="E60" s="4">
        <v>44627</v>
      </c>
      <c r="F60" s="10" t="s">
        <v>161</v>
      </c>
      <c r="G60" s="12">
        <v>10</v>
      </c>
      <c r="H60" s="5">
        <v>15.46</v>
      </c>
      <c r="I60" s="102">
        <v>0</v>
      </c>
      <c r="J60" s="5">
        <v>0</v>
      </c>
      <c r="K60" s="5"/>
      <c r="L60" s="6">
        <v>100</v>
      </c>
      <c r="M60" s="61">
        <v>44</v>
      </c>
      <c r="N60" s="6">
        <f>10+(46)*0.7</f>
        <v>42.199999999999996</v>
      </c>
    </row>
    <row r="61" spans="1:16">
      <c r="A61" s="44" t="s">
        <v>171</v>
      </c>
      <c r="B61" s="44"/>
      <c r="C61" s="4">
        <v>44648</v>
      </c>
      <c r="D61" s="4"/>
      <c r="E61" s="4">
        <v>44734</v>
      </c>
      <c r="F61" s="40"/>
      <c r="G61" s="5"/>
      <c r="H61" s="5">
        <v>13.72</v>
      </c>
      <c r="I61" s="102">
        <f>56/30*84</f>
        <v>156.80000000000001</v>
      </c>
      <c r="J61" s="5">
        <v>95</v>
      </c>
      <c r="K61" s="5"/>
      <c r="L61" s="6">
        <v>140</v>
      </c>
      <c r="M61" s="61">
        <v>56</v>
      </c>
      <c r="N61" s="6">
        <f>(140-56)*0.7</f>
        <v>58.8</v>
      </c>
    </row>
    <row r="62" spans="1:16">
      <c r="A62" s="44" t="s">
        <v>172</v>
      </c>
      <c r="B62" s="44"/>
      <c r="C62" s="4">
        <v>44705</v>
      </c>
      <c r="D62" s="4"/>
      <c r="E62" s="4">
        <v>44715</v>
      </c>
      <c r="F62" s="40"/>
      <c r="G62" s="5"/>
      <c r="H62" s="5">
        <v>10.039999999999999</v>
      </c>
      <c r="I62" s="102">
        <f>25/30*9</f>
        <v>7.5</v>
      </c>
      <c r="J62" s="5"/>
      <c r="K62" s="5"/>
      <c r="L62" s="6">
        <v>50</v>
      </c>
      <c r="M62" s="61">
        <v>25</v>
      </c>
      <c r="N62" s="6">
        <f>(50-25)*0.7</f>
        <v>17.5</v>
      </c>
    </row>
    <row r="63" spans="1:16">
      <c r="A63" s="44" t="s">
        <v>173</v>
      </c>
      <c r="B63" s="44"/>
      <c r="C63" s="4">
        <v>44704</v>
      </c>
      <c r="D63" s="4"/>
      <c r="E63" s="4">
        <v>44721</v>
      </c>
      <c r="F63" s="10" t="s">
        <v>161</v>
      </c>
      <c r="G63" s="56">
        <v>12.5</v>
      </c>
      <c r="H63" s="5">
        <v>13.72</v>
      </c>
      <c r="I63" s="102">
        <f>37/30*16</f>
        <v>19.733333333333334</v>
      </c>
      <c r="J63" s="5">
        <f>50+45</f>
        <v>95</v>
      </c>
      <c r="K63" s="5"/>
      <c r="L63" s="6">
        <v>129</v>
      </c>
      <c r="M63" s="61">
        <v>54.5</v>
      </c>
      <c r="N63" s="56">
        <f>12.5+(116.5-54.5)*0.7</f>
        <v>55.9</v>
      </c>
    </row>
    <row r="64" spans="1:16">
      <c r="A64" s="44" t="s">
        <v>174</v>
      </c>
      <c r="B64" s="44"/>
      <c r="C64" s="4">
        <v>44715</v>
      </c>
      <c r="D64" s="4"/>
      <c r="E64" s="4">
        <v>44820</v>
      </c>
      <c r="F64" s="10" t="s">
        <v>161</v>
      </c>
      <c r="G64" s="56">
        <v>15</v>
      </c>
      <c r="H64" s="5">
        <v>14.6</v>
      </c>
      <c r="I64" s="102">
        <f>56/30*103</f>
        <v>192.26666666666668</v>
      </c>
      <c r="J64" s="5">
        <v>50</v>
      </c>
      <c r="K64" s="5"/>
      <c r="L64" s="6">
        <f>130</f>
        <v>130</v>
      </c>
      <c r="M64" s="61">
        <v>56</v>
      </c>
      <c r="N64" s="56">
        <f>15+(115-56)*0.7</f>
        <v>56.3</v>
      </c>
    </row>
    <row r="65" spans="1:14">
      <c r="A65" s="44" t="s">
        <v>183</v>
      </c>
      <c r="B65" s="44"/>
      <c r="C65" s="4">
        <v>44749</v>
      </c>
      <c r="D65" s="4">
        <v>44830</v>
      </c>
      <c r="E65" s="4">
        <v>44858</v>
      </c>
      <c r="F65" s="40"/>
      <c r="G65" s="5"/>
      <c r="H65" s="5">
        <v>11.03</v>
      </c>
      <c r="I65" s="102">
        <v>25</v>
      </c>
      <c r="J65" s="5">
        <v>15</v>
      </c>
      <c r="K65" s="5"/>
      <c r="L65" s="6">
        <v>80</v>
      </c>
      <c r="M65" s="61">
        <v>25</v>
      </c>
      <c r="N65" s="6">
        <f>55*0.7</f>
        <v>38.5</v>
      </c>
    </row>
    <row r="66" spans="1:14">
      <c r="A66" s="44" t="s">
        <v>185</v>
      </c>
      <c r="B66" s="44"/>
      <c r="C66" s="4">
        <v>44830</v>
      </c>
      <c r="D66" s="4">
        <v>44852</v>
      </c>
      <c r="E66" s="4">
        <v>44858</v>
      </c>
      <c r="F66" s="10" t="s">
        <v>161</v>
      </c>
      <c r="G66" s="12">
        <v>15</v>
      </c>
      <c r="H66" s="5">
        <v>23.38</v>
      </c>
      <c r="I66" s="102">
        <f>54.5/30*6</f>
        <v>10.9</v>
      </c>
      <c r="J66" s="5">
        <v>95</v>
      </c>
      <c r="K66" s="5"/>
      <c r="L66" s="6">
        <v>160</v>
      </c>
      <c r="M66" s="61">
        <v>64.5</v>
      </c>
      <c r="N66" s="6">
        <f>15+(145-64.5)*0.7</f>
        <v>71.349999999999994</v>
      </c>
    </row>
    <row r="67" spans="1:14">
      <c r="A67" s="44" t="s">
        <v>190</v>
      </c>
      <c r="B67" s="44"/>
      <c r="C67" s="4"/>
      <c r="D67" s="4">
        <v>44879</v>
      </c>
      <c r="E67" s="35">
        <v>44887</v>
      </c>
      <c r="F67" s="44" t="s">
        <v>161</v>
      </c>
      <c r="G67" s="56">
        <v>10</v>
      </c>
      <c r="H67" s="5">
        <v>14.6</v>
      </c>
      <c r="I67" s="102">
        <f>34/30*8</f>
        <v>9.0666666666666664</v>
      </c>
      <c r="J67" s="5">
        <v>45</v>
      </c>
      <c r="K67" s="5"/>
      <c r="L67" s="6">
        <v>75</v>
      </c>
      <c r="M67" s="61">
        <v>34</v>
      </c>
      <c r="N67" s="56">
        <f>10+(80-34)*0.7</f>
        <v>42.199999999999996</v>
      </c>
    </row>
    <row r="68" spans="1:14">
      <c r="A68" s="44" t="s">
        <v>213</v>
      </c>
      <c r="B68" s="44"/>
      <c r="C68" s="4">
        <v>44894</v>
      </c>
      <c r="D68" s="4">
        <v>44908</v>
      </c>
      <c r="E68" s="35">
        <v>44944</v>
      </c>
      <c r="F68" s="40" t="s">
        <v>161</v>
      </c>
      <c r="G68" s="5">
        <v>15</v>
      </c>
      <c r="H68" s="5">
        <v>31.72</v>
      </c>
      <c r="I68" s="102">
        <f>50/30*35</f>
        <v>58.333333333333336</v>
      </c>
      <c r="J68" s="5">
        <f>60+50</f>
        <v>110</v>
      </c>
      <c r="K68" s="5"/>
      <c r="L68" s="6">
        <v>119</v>
      </c>
      <c r="M68" s="61">
        <v>54</v>
      </c>
      <c r="N68" s="94">
        <f>15+(L68-M68-15)*0.7</f>
        <v>50</v>
      </c>
    </row>
    <row r="69" spans="1:14">
      <c r="A69" s="44" t="s">
        <v>227</v>
      </c>
      <c r="B69" s="44"/>
      <c r="C69" s="4">
        <v>44949</v>
      </c>
      <c r="D69" s="4">
        <v>44953</v>
      </c>
      <c r="E69" s="35">
        <v>44966</v>
      </c>
      <c r="F69" s="40" t="s">
        <v>160</v>
      </c>
      <c r="G69" s="5">
        <v>15</v>
      </c>
      <c r="H69" s="5">
        <v>16.38</v>
      </c>
      <c r="I69" s="102">
        <f>61.5/30*12</f>
        <v>24.599999999999998</v>
      </c>
      <c r="J69" s="5">
        <f>50+60</f>
        <v>110</v>
      </c>
      <c r="K69" s="5"/>
      <c r="L69" s="6">
        <v>160</v>
      </c>
      <c r="M69" s="65">
        <f>32.5+7+22</f>
        <v>61.5</v>
      </c>
      <c r="N69" s="59">
        <f>15+(L69-M69-15)*0.7</f>
        <v>73.449999999999989</v>
      </c>
    </row>
    <row r="70" spans="1:14">
      <c r="A70" s="44" t="s">
        <v>228</v>
      </c>
      <c r="B70" s="44"/>
      <c r="C70" s="4">
        <v>44957</v>
      </c>
      <c r="D70" s="4">
        <v>44957</v>
      </c>
      <c r="E70" s="35">
        <v>44977</v>
      </c>
      <c r="F70" s="40"/>
      <c r="G70" s="5"/>
      <c r="H70" s="5">
        <v>20.61</v>
      </c>
      <c r="I70" s="102">
        <f>66/30*20</f>
        <v>44</v>
      </c>
      <c r="J70" s="5">
        <v>90</v>
      </c>
      <c r="K70" s="5"/>
      <c r="L70" s="6">
        <v>155</v>
      </c>
      <c r="M70" s="65">
        <v>54</v>
      </c>
      <c r="N70" s="59">
        <f>(L70-M70)*0.7</f>
        <v>70.699999999999989</v>
      </c>
    </row>
    <row r="71" spans="1:14">
      <c r="A71" s="44" t="s">
        <v>255</v>
      </c>
      <c r="B71" s="44"/>
      <c r="C71" s="35">
        <v>44691</v>
      </c>
      <c r="D71" s="35">
        <v>44994</v>
      </c>
      <c r="E71" s="4">
        <v>44994</v>
      </c>
      <c r="F71" s="40"/>
      <c r="G71" s="40"/>
      <c r="H71" s="5">
        <v>11.03</v>
      </c>
      <c r="I71" s="102">
        <f>25*14</f>
        <v>350</v>
      </c>
      <c r="J71" s="40">
        <f>30+50</f>
        <v>80</v>
      </c>
      <c r="K71" s="40"/>
      <c r="L71" s="6">
        <v>109</v>
      </c>
      <c r="M71" s="6">
        <f>38+7</f>
        <v>45</v>
      </c>
      <c r="N71" s="59">
        <f>(L71-M71)*0.7</f>
        <v>44.8</v>
      </c>
    </row>
    <row r="72" spans="1:14">
      <c r="A72" s="44" t="s">
        <v>187</v>
      </c>
      <c r="B72" s="44"/>
      <c r="C72" s="35"/>
      <c r="D72" s="35">
        <v>44991</v>
      </c>
      <c r="E72" s="4">
        <v>44991</v>
      </c>
      <c r="F72" s="40"/>
      <c r="G72" s="40"/>
      <c r="H72" s="5">
        <v>13.31</v>
      </c>
      <c r="I72" s="102"/>
      <c r="J72" s="40">
        <v>45</v>
      </c>
      <c r="K72" s="40"/>
      <c r="L72" s="6">
        <v>80</v>
      </c>
      <c r="M72" s="6">
        <v>27</v>
      </c>
      <c r="N72" s="59">
        <f>(L72-M72)*0.7</f>
        <v>37.099999999999994</v>
      </c>
    </row>
    <row r="73" spans="1:14">
      <c r="A73" s="76" t="s">
        <v>276</v>
      </c>
      <c r="B73" s="44"/>
      <c r="C73" s="35">
        <v>45061</v>
      </c>
      <c r="D73" s="35">
        <v>45070</v>
      </c>
      <c r="E73" s="4"/>
      <c r="F73" s="40"/>
      <c r="G73" s="40"/>
      <c r="H73" s="5">
        <v>11.48</v>
      </c>
      <c r="I73" s="102">
        <f>21/30*9</f>
        <v>6.3</v>
      </c>
      <c r="J73" s="40"/>
      <c r="K73" s="40"/>
      <c r="L73" s="17">
        <f>50</f>
        <v>50</v>
      </c>
      <c r="M73" s="18">
        <v>21</v>
      </c>
      <c r="N73" s="70">
        <f>(50-21)*0.7</f>
        <v>20.299999999999997</v>
      </c>
    </row>
    <row r="74" spans="1:14">
      <c r="A74" s="76" t="s">
        <v>279</v>
      </c>
      <c r="B74" s="44"/>
      <c r="C74" s="35">
        <v>45065</v>
      </c>
      <c r="D74" s="35">
        <v>45070</v>
      </c>
      <c r="E74" s="4"/>
      <c r="F74" s="40"/>
      <c r="G74" s="40"/>
      <c r="H74" s="5">
        <v>11.48</v>
      </c>
      <c r="I74" s="102">
        <f>21/30*5</f>
        <v>3.5</v>
      </c>
      <c r="J74" s="40"/>
      <c r="K74" s="40"/>
      <c r="L74" s="17">
        <f>50</f>
        <v>50</v>
      </c>
      <c r="M74" s="18">
        <v>21</v>
      </c>
      <c r="N74" s="70">
        <f>(50-21)*0.7</f>
        <v>20.299999999999997</v>
      </c>
    </row>
    <row r="75" spans="1:14">
      <c r="A75" s="76" t="s">
        <v>278</v>
      </c>
      <c r="B75" s="52"/>
      <c r="C75" s="57">
        <v>44973</v>
      </c>
      <c r="D75" s="57">
        <v>45070</v>
      </c>
      <c r="E75" s="24"/>
      <c r="F75" s="48"/>
      <c r="G75" s="48"/>
      <c r="H75" s="25">
        <v>11.48</v>
      </c>
      <c r="I75" s="103">
        <f>21/30*98</f>
        <v>68.599999999999994</v>
      </c>
      <c r="J75" s="48"/>
      <c r="K75" s="48"/>
      <c r="L75" s="17">
        <v>50</v>
      </c>
      <c r="M75" s="26">
        <v>21</v>
      </c>
      <c r="N75" s="85">
        <f>(50-21)*0.7</f>
        <v>20.299999999999997</v>
      </c>
    </row>
    <row r="76" spans="1:14">
      <c r="A76" s="44" t="s">
        <v>289</v>
      </c>
      <c r="B76" s="44"/>
      <c r="C76" s="35">
        <v>45110</v>
      </c>
      <c r="D76" s="35">
        <v>45127</v>
      </c>
      <c r="E76" s="4">
        <v>45110</v>
      </c>
      <c r="F76" s="40"/>
      <c r="G76" s="40"/>
      <c r="H76" s="5">
        <v>13.31</v>
      </c>
      <c r="I76" s="102">
        <f>27/30*17</f>
        <v>15.3</v>
      </c>
      <c r="J76" s="40">
        <v>45</v>
      </c>
      <c r="K76" s="40"/>
      <c r="L76" s="6">
        <v>75</v>
      </c>
      <c r="M76" s="6">
        <v>27</v>
      </c>
      <c r="N76" s="59">
        <f>(L76-M76)*0.7</f>
        <v>33.599999999999994</v>
      </c>
    </row>
    <row r="77" spans="1:14">
      <c r="A77" s="44" t="s">
        <v>292</v>
      </c>
      <c r="B77" s="44"/>
      <c r="C77" s="35">
        <v>45138</v>
      </c>
      <c r="D77" s="35">
        <v>45139</v>
      </c>
      <c r="E77" s="35">
        <v>45162</v>
      </c>
      <c r="F77" s="40"/>
      <c r="G77" s="40"/>
      <c r="H77" s="5">
        <v>12.48</v>
      </c>
      <c r="I77" s="102">
        <f>27/30*23</f>
        <v>20.7</v>
      </c>
      <c r="J77" s="40">
        <v>45</v>
      </c>
      <c r="K77" s="40"/>
      <c r="L77" s="6">
        <v>90</v>
      </c>
      <c r="M77" s="6">
        <v>27</v>
      </c>
      <c r="N77" s="59">
        <f>(L77-M77)*0.7</f>
        <v>44.099999999999994</v>
      </c>
    </row>
    <row r="78" spans="1:14">
      <c r="A78" s="44" t="s">
        <v>293</v>
      </c>
      <c r="B78" s="44"/>
      <c r="C78" s="35">
        <v>45086</v>
      </c>
      <c r="D78" s="35">
        <v>45089</v>
      </c>
      <c r="E78" s="4">
        <v>45103</v>
      </c>
      <c r="F78" s="40"/>
      <c r="G78" s="40"/>
      <c r="H78" s="5">
        <v>11.03</v>
      </c>
      <c r="I78" s="102">
        <f>21/30*14</f>
        <v>9.7999999999999989</v>
      </c>
      <c r="J78" s="40"/>
      <c r="K78" s="40"/>
      <c r="L78" s="6">
        <v>50</v>
      </c>
      <c r="M78" s="6">
        <v>21</v>
      </c>
      <c r="N78" s="59">
        <f>(L78-M78)*0.7</f>
        <v>20.299999999999997</v>
      </c>
    </row>
    <row r="79" spans="1:14">
      <c r="A79" s="44" t="s">
        <v>295</v>
      </c>
      <c r="B79" s="44"/>
      <c r="C79" s="35">
        <v>45228</v>
      </c>
      <c r="D79" s="35">
        <v>45203</v>
      </c>
      <c r="E79" s="4"/>
      <c r="F79" s="40"/>
      <c r="G79" s="40"/>
      <c r="H79" s="5">
        <v>13.31</v>
      </c>
      <c r="I79" s="102">
        <f>27/30*5</f>
        <v>4.5</v>
      </c>
      <c r="J79" s="40">
        <v>45</v>
      </c>
      <c r="K79" s="40"/>
      <c r="L79" s="6">
        <v>80</v>
      </c>
      <c r="M79" s="6">
        <v>27</v>
      </c>
      <c r="N79" s="59">
        <f>(L79-M79)*0.7</f>
        <v>37.099999999999994</v>
      </c>
    </row>
    <row r="80" spans="1:14">
      <c r="A80" s="44" t="s">
        <v>320</v>
      </c>
      <c r="B80" s="44"/>
      <c r="C80" s="35">
        <v>45177</v>
      </c>
      <c r="D80" s="35">
        <v>45196</v>
      </c>
      <c r="E80" s="4"/>
      <c r="F80" s="40"/>
      <c r="G80" s="40"/>
      <c r="H80" s="5">
        <v>10.44</v>
      </c>
      <c r="I80" s="102">
        <f>38/30*21</f>
        <v>26.599999999999998</v>
      </c>
      <c r="J80" s="40"/>
      <c r="K80" s="40"/>
      <c r="L80" s="6">
        <v>69</v>
      </c>
      <c r="M80" s="6">
        <v>38</v>
      </c>
      <c r="N80" s="59">
        <f>(69-38)*0.7</f>
        <v>21.7</v>
      </c>
    </row>
    <row r="81" spans="1:16">
      <c r="A81" s="44" t="s">
        <v>325</v>
      </c>
      <c r="B81" s="44"/>
      <c r="C81" s="35"/>
      <c r="D81" s="35">
        <v>45223</v>
      </c>
      <c r="E81" s="4">
        <v>45239</v>
      </c>
      <c r="F81" s="40"/>
      <c r="G81" s="40"/>
      <c r="H81" s="5">
        <v>40</v>
      </c>
      <c r="I81" s="102">
        <f>43/30*15</f>
        <v>21.5</v>
      </c>
      <c r="J81" s="40"/>
      <c r="K81" s="40"/>
      <c r="L81" s="6">
        <v>69</v>
      </c>
      <c r="M81" s="6">
        <v>43</v>
      </c>
      <c r="N81" s="94">
        <f>(69-43)*0.7</f>
        <v>18.2</v>
      </c>
      <c r="O81" s="72" t="s">
        <v>329</v>
      </c>
      <c r="P81" s="72">
        <v>12.74</v>
      </c>
    </row>
    <row r="82" spans="1:16">
      <c r="A82" s="44" t="s">
        <v>326</v>
      </c>
      <c r="B82" s="44"/>
      <c r="C82" s="35"/>
      <c r="D82" s="35">
        <v>45188</v>
      </c>
      <c r="E82" s="4">
        <v>45209</v>
      </c>
      <c r="F82" s="40"/>
      <c r="G82" s="40"/>
      <c r="H82" s="5">
        <v>11.48</v>
      </c>
      <c r="I82" s="102"/>
      <c r="J82" s="40"/>
      <c r="K82" s="40"/>
      <c r="L82" s="6">
        <v>59</v>
      </c>
      <c r="M82" s="6">
        <v>38</v>
      </c>
      <c r="N82" s="59">
        <f>(L82-M82)*0.7</f>
        <v>14.7</v>
      </c>
    </row>
    <row r="83" spans="1:16">
      <c r="A83" s="44" t="s">
        <v>108</v>
      </c>
      <c r="B83" s="44"/>
      <c r="C83" s="35"/>
      <c r="D83" s="35">
        <v>45231</v>
      </c>
      <c r="E83" s="4">
        <v>45231</v>
      </c>
      <c r="F83" s="40"/>
      <c r="G83" s="40"/>
      <c r="H83" s="5"/>
      <c r="I83" s="102"/>
      <c r="J83" s="40"/>
      <c r="K83" s="40"/>
      <c r="L83" s="6">
        <v>69</v>
      </c>
      <c r="M83" s="6">
        <v>43</v>
      </c>
      <c r="N83" s="59">
        <f>(L83-M83)*0.7</f>
        <v>18.2</v>
      </c>
    </row>
    <row r="84" spans="1:16">
      <c r="A84" s="44" t="s">
        <v>327</v>
      </c>
      <c r="B84" s="44"/>
      <c r="C84" s="35"/>
      <c r="D84" s="35"/>
      <c r="E84" s="4">
        <v>45127</v>
      </c>
      <c r="F84" s="40"/>
      <c r="G84" s="40"/>
      <c r="H84" s="5">
        <v>11.48</v>
      </c>
      <c r="I84" s="102"/>
      <c r="J84" s="40"/>
      <c r="K84" s="40"/>
      <c r="L84" s="6">
        <v>25</v>
      </c>
      <c r="M84" s="6">
        <v>9</v>
      </c>
      <c r="N84" s="59">
        <f>(L84-M84)*0.7</f>
        <v>11.2</v>
      </c>
    </row>
    <row r="85" spans="1:16">
      <c r="A85" s="44" t="s">
        <v>336</v>
      </c>
      <c r="B85" s="44"/>
      <c r="C85" s="35"/>
      <c r="D85" s="35">
        <v>45278</v>
      </c>
      <c r="E85" s="4">
        <v>45278</v>
      </c>
      <c r="F85" s="40"/>
      <c r="G85" s="40"/>
      <c r="H85" s="5"/>
      <c r="I85" s="102"/>
      <c r="J85" s="40"/>
      <c r="K85" s="40"/>
      <c r="L85" s="6">
        <v>69</v>
      </c>
      <c r="M85" s="6">
        <v>43</v>
      </c>
      <c r="N85" s="59">
        <f>(69-43)*0.7/30*42</f>
        <v>25.48</v>
      </c>
    </row>
    <row r="86" spans="1:16">
      <c r="A86" s="44" t="s">
        <v>337</v>
      </c>
      <c r="B86" s="44"/>
      <c r="C86" s="35">
        <v>45342</v>
      </c>
      <c r="D86" s="35">
        <v>44977</v>
      </c>
      <c r="E86" s="4">
        <v>45342</v>
      </c>
      <c r="F86" s="40"/>
      <c r="G86" s="40"/>
      <c r="H86" s="5">
        <v>13.78</v>
      </c>
      <c r="I86" s="102"/>
      <c r="J86" s="40">
        <f>45+50</f>
        <v>95</v>
      </c>
      <c r="K86" s="40"/>
      <c r="L86" s="6">
        <v>119</v>
      </c>
      <c r="M86" s="6">
        <f>38+7+9</f>
        <v>54</v>
      </c>
      <c r="N86" s="59">
        <f t="shared" ref="N86:N107" si="2">(L86-M86)*0.7</f>
        <v>45.5</v>
      </c>
    </row>
    <row r="87" spans="1:16">
      <c r="A87" s="44" t="s">
        <v>338</v>
      </c>
      <c r="B87" s="44"/>
      <c r="C87" s="35">
        <v>45271</v>
      </c>
      <c r="D87" s="35"/>
      <c r="E87" s="4">
        <v>45301</v>
      </c>
      <c r="F87" s="40"/>
      <c r="G87" s="40"/>
      <c r="H87" s="5">
        <v>14.26</v>
      </c>
      <c r="I87" s="102">
        <f>25/30*29</f>
        <v>24.166666666666668</v>
      </c>
      <c r="J87" s="40">
        <f>30+50</f>
        <v>80</v>
      </c>
      <c r="K87" s="40"/>
      <c r="L87" s="6">
        <v>80</v>
      </c>
      <c r="M87" s="6">
        <v>29</v>
      </c>
      <c r="N87" s="59">
        <f t="shared" si="2"/>
        <v>35.699999999999996</v>
      </c>
      <c r="O87" t="s">
        <v>339</v>
      </c>
    </row>
    <row r="88" spans="1:16">
      <c r="A88" s="44" t="s">
        <v>333</v>
      </c>
      <c r="B88" s="44"/>
      <c r="C88" s="35"/>
      <c r="D88" s="35"/>
      <c r="E88" s="4">
        <v>45336</v>
      </c>
      <c r="F88" s="40"/>
      <c r="G88" s="40"/>
      <c r="H88" s="5">
        <v>10</v>
      </c>
      <c r="I88" s="102">
        <v>0</v>
      </c>
      <c r="J88" s="40">
        <v>120</v>
      </c>
      <c r="K88" s="40"/>
      <c r="L88" s="6">
        <v>160</v>
      </c>
      <c r="M88" s="6">
        <v>72</v>
      </c>
      <c r="N88" s="59">
        <f t="shared" si="2"/>
        <v>61.599999999999994</v>
      </c>
    </row>
    <row r="89" spans="1:16">
      <c r="A89" s="44" t="s">
        <v>343</v>
      </c>
      <c r="B89" s="44"/>
      <c r="C89" s="35"/>
      <c r="D89" s="35"/>
      <c r="E89" s="4">
        <v>45336</v>
      </c>
      <c r="F89" s="40"/>
      <c r="G89" s="40"/>
      <c r="H89" s="5">
        <v>10.92</v>
      </c>
      <c r="I89" s="102"/>
      <c r="J89" s="40"/>
      <c r="K89" s="40"/>
      <c r="L89" s="6">
        <v>59</v>
      </c>
      <c r="M89" s="6">
        <v>38</v>
      </c>
      <c r="N89" s="59">
        <f t="shared" si="2"/>
        <v>14.7</v>
      </c>
    </row>
    <row r="90" spans="1:16">
      <c r="A90" s="44" t="s">
        <v>381</v>
      </c>
      <c r="B90" s="44"/>
      <c r="C90" s="35"/>
      <c r="D90" s="35">
        <v>45323</v>
      </c>
      <c r="E90" s="4">
        <v>45323</v>
      </c>
      <c r="F90" s="40"/>
      <c r="G90" s="40"/>
      <c r="H90" s="5">
        <v>10.92</v>
      </c>
      <c r="I90" s="102"/>
      <c r="J90" s="40"/>
      <c r="K90" s="40"/>
      <c r="L90" s="6">
        <v>59</v>
      </c>
      <c r="M90" s="6">
        <v>38</v>
      </c>
      <c r="N90" s="59">
        <f t="shared" si="2"/>
        <v>14.7</v>
      </c>
    </row>
    <row r="91" spans="1:16">
      <c r="A91" s="44" t="s">
        <v>345</v>
      </c>
      <c r="B91" s="44"/>
      <c r="C91" s="35"/>
      <c r="D91" s="35"/>
      <c r="E91" s="4">
        <v>45345</v>
      </c>
      <c r="F91" s="40"/>
      <c r="G91" s="40"/>
      <c r="H91" s="5">
        <v>24.2</v>
      </c>
      <c r="I91" s="102"/>
      <c r="J91" s="40">
        <v>45</v>
      </c>
      <c r="K91" s="40"/>
      <c r="L91" s="6">
        <v>90</v>
      </c>
      <c r="M91" s="6">
        <f>7+9</f>
        <v>16</v>
      </c>
      <c r="N91" s="59">
        <f t="shared" si="2"/>
        <v>51.8</v>
      </c>
    </row>
    <row r="92" spans="1:16">
      <c r="A92" s="44" t="s">
        <v>346</v>
      </c>
      <c r="B92" s="44"/>
      <c r="C92" s="35"/>
      <c r="D92" s="35"/>
      <c r="E92" s="4">
        <v>45334</v>
      </c>
      <c r="F92" s="40"/>
      <c r="G92" s="40"/>
      <c r="H92" s="5">
        <v>12.01</v>
      </c>
      <c r="I92" s="102"/>
      <c r="J92" s="40">
        <v>15</v>
      </c>
      <c r="K92" s="40"/>
      <c r="L92" s="6">
        <v>20</v>
      </c>
      <c r="M92" s="6">
        <v>9</v>
      </c>
      <c r="N92" s="70">
        <f t="shared" si="2"/>
        <v>7.6999999999999993</v>
      </c>
    </row>
    <row r="93" spans="1:16">
      <c r="A93" s="44" t="s">
        <v>361</v>
      </c>
      <c r="B93" s="44"/>
      <c r="C93" s="35"/>
      <c r="D93" s="35">
        <v>45366</v>
      </c>
      <c r="E93" s="4">
        <v>45385</v>
      </c>
      <c r="F93" s="40"/>
      <c r="G93" s="40"/>
      <c r="H93" s="5"/>
      <c r="I93" s="102">
        <f>69/30*18</f>
        <v>41.4</v>
      </c>
      <c r="J93" s="40"/>
      <c r="K93" s="40"/>
      <c r="L93" s="6">
        <v>69</v>
      </c>
      <c r="M93" s="6">
        <v>43</v>
      </c>
      <c r="N93" s="70">
        <f t="shared" si="2"/>
        <v>18.2</v>
      </c>
    </row>
    <row r="94" spans="1:16">
      <c r="A94" s="44" t="s">
        <v>365</v>
      </c>
      <c r="B94" s="44"/>
      <c r="C94" s="35"/>
      <c r="D94" s="35">
        <v>45450</v>
      </c>
      <c r="E94" s="4">
        <v>45456</v>
      </c>
      <c r="F94" s="40"/>
      <c r="G94" s="40"/>
      <c r="H94" s="5"/>
      <c r="I94" s="102">
        <f>47/30*5</f>
        <v>7.833333333333333</v>
      </c>
      <c r="J94" s="40"/>
      <c r="K94" s="40"/>
      <c r="L94" s="6">
        <v>69</v>
      </c>
      <c r="M94" s="6">
        <v>47</v>
      </c>
      <c r="N94" s="59">
        <f t="shared" si="2"/>
        <v>15.399999999999999</v>
      </c>
    </row>
    <row r="95" spans="1:16">
      <c r="A95" s="44" t="s">
        <v>358</v>
      </c>
      <c r="B95" s="44"/>
      <c r="C95" s="35"/>
      <c r="D95" s="35">
        <v>45468</v>
      </c>
      <c r="E95" s="4">
        <v>45468</v>
      </c>
      <c r="F95" s="40"/>
      <c r="G95" s="40"/>
      <c r="H95" s="5">
        <v>12.01</v>
      </c>
      <c r="I95" s="102"/>
      <c r="J95" s="40"/>
      <c r="K95" s="40"/>
      <c r="L95" s="6">
        <v>59</v>
      </c>
      <c r="M95" s="6">
        <v>38</v>
      </c>
      <c r="N95" s="59">
        <f t="shared" si="2"/>
        <v>14.7</v>
      </c>
    </row>
    <row r="96" spans="1:16">
      <c r="A96" s="44" t="s">
        <v>218</v>
      </c>
      <c r="B96" s="44"/>
      <c r="C96" s="35"/>
      <c r="D96" s="35">
        <v>45456</v>
      </c>
      <c r="E96" s="4">
        <v>45456</v>
      </c>
      <c r="F96" s="40"/>
      <c r="G96" s="40"/>
      <c r="H96" s="5">
        <v>10</v>
      </c>
      <c r="I96" s="102"/>
      <c r="J96" s="40">
        <v>45</v>
      </c>
      <c r="K96" s="40"/>
      <c r="L96" s="6">
        <v>60</v>
      </c>
      <c r="M96" s="6">
        <v>7</v>
      </c>
      <c r="N96" s="59">
        <f t="shared" si="2"/>
        <v>37.099999999999994</v>
      </c>
    </row>
    <row r="97" spans="1:14">
      <c r="A97" s="44" t="s">
        <v>366</v>
      </c>
      <c r="B97" s="44"/>
      <c r="C97" s="35"/>
      <c r="D97" s="35">
        <v>45454</v>
      </c>
      <c r="E97" s="4"/>
      <c r="F97" s="40"/>
      <c r="G97" s="40"/>
      <c r="H97" s="5"/>
      <c r="I97" s="102"/>
      <c r="J97" s="40"/>
      <c r="K97" s="40"/>
      <c r="L97" s="6">
        <v>59</v>
      </c>
      <c r="M97" s="6">
        <v>38</v>
      </c>
      <c r="N97" s="59">
        <f t="shared" si="2"/>
        <v>14.7</v>
      </c>
    </row>
    <row r="98" spans="1:14">
      <c r="A98" s="44" t="s">
        <v>64</v>
      </c>
      <c r="B98" s="44"/>
      <c r="C98" s="35"/>
      <c r="D98" s="35">
        <v>45469</v>
      </c>
      <c r="E98" s="4">
        <v>45469</v>
      </c>
      <c r="F98" s="40"/>
      <c r="G98" s="40"/>
      <c r="H98" s="5"/>
      <c r="I98" s="102"/>
      <c r="J98" s="40"/>
      <c r="K98" s="40"/>
      <c r="L98" s="6">
        <v>100</v>
      </c>
      <c r="M98" s="18">
        <v>5</v>
      </c>
      <c r="N98" s="59">
        <f t="shared" si="2"/>
        <v>66.5</v>
      </c>
    </row>
    <row r="99" spans="1:14">
      <c r="A99" s="44" t="s">
        <v>369</v>
      </c>
      <c r="B99" s="44"/>
      <c r="C99" s="35"/>
      <c r="D99" s="35">
        <v>45464</v>
      </c>
      <c r="E99" s="4">
        <v>41811</v>
      </c>
      <c r="F99" s="40"/>
      <c r="G99" s="40"/>
      <c r="H99" s="5">
        <v>24.98</v>
      </c>
      <c r="I99" s="102"/>
      <c r="J99" s="40">
        <v>15</v>
      </c>
      <c r="K99" s="40"/>
      <c r="L99" s="6">
        <v>80</v>
      </c>
      <c r="M99" s="6">
        <v>42.5</v>
      </c>
      <c r="N99" s="59">
        <f t="shared" si="2"/>
        <v>26.25</v>
      </c>
    </row>
    <row r="100" spans="1:14">
      <c r="A100" s="44" t="s">
        <v>370</v>
      </c>
      <c r="B100" s="44"/>
      <c r="C100" s="35"/>
      <c r="D100" s="35">
        <v>45444</v>
      </c>
      <c r="E100" s="4">
        <v>41791</v>
      </c>
      <c r="F100" s="40"/>
      <c r="G100" s="40"/>
      <c r="H100" s="5">
        <v>12.98</v>
      </c>
      <c r="I100" s="102"/>
      <c r="J100" s="40">
        <v>30</v>
      </c>
      <c r="K100" s="40"/>
      <c r="L100" s="6">
        <v>65</v>
      </c>
      <c r="M100" s="6">
        <v>18</v>
      </c>
      <c r="N100" s="59">
        <f t="shared" si="2"/>
        <v>32.9</v>
      </c>
    </row>
    <row r="101" spans="1:14">
      <c r="A101" s="44" t="s">
        <v>375</v>
      </c>
      <c r="B101" s="44"/>
      <c r="C101" s="35"/>
      <c r="D101" s="35">
        <v>45471</v>
      </c>
      <c r="E101" s="35">
        <v>45471</v>
      </c>
      <c r="F101" s="40"/>
      <c r="G101" s="40"/>
      <c r="H101" s="5">
        <f>10+12.01</f>
        <v>22.009999999999998</v>
      </c>
      <c r="I101" s="102"/>
      <c r="J101" s="40">
        <v>30</v>
      </c>
      <c r="K101" s="40"/>
      <c r="L101" s="6">
        <v>90</v>
      </c>
      <c r="M101" s="18">
        <f>38.5+1+18</f>
        <v>57.5</v>
      </c>
      <c r="N101" s="70">
        <f t="shared" si="2"/>
        <v>22.75</v>
      </c>
    </row>
    <row r="102" spans="1:14">
      <c r="A102" s="44" t="s">
        <v>83</v>
      </c>
      <c r="B102" s="44"/>
      <c r="C102" s="35"/>
      <c r="D102" s="35">
        <v>45482</v>
      </c>
      <c r="E102" s="35">
        <v>45482</v>
      </c>
      <c r="F102" s="40"/>
      <c r="G102" s="40"/>
      <c r="H102" s="5"/>
      <c r="I102" s="102"/>
      <c r="J102" s="40"/>
      <c r="K102" s="40"/>
      <c r="L102" s="6">
        <v>69</v>
      </c>
      <c r="M102" s="18">
        <v>43</v>
      </c>
      <c r="N102" s="70">
        <f t="shared" si="2"/>
        <v>18.2</v>
      </c>
    </row>
    <row r="103" spans="1:14">
      <c r="A103" s="44" t="s">
        <v>383</v>
      </c>
      <c r="B103" s="44"/>
      <c r="C103" s="35"/>
      <c r="D103" s="35">
        <v>45434</v>
      </c>
      <c r="E103" s="35">
        <v>45513</v>
      </c>
      <c r="F103" s="40"/>
      <c r="G103" s="40"/>
      <c r="H103" s="5">
        <v>14.58</v>
      </c>
      <c r="I103" s="102"/>
      <c r="J103" s="40"/>
      <c r="K103" s="40"/>
      <c r="L103" s="6">
        <v>69</v>
      </c>
      <c r="M103" s="18">
        <v>43</v>
      </c>
      <c r="N103" s="70">
        <f t="shared" si="2"/>
        <v>18.2</v>
      </c>
    </row>
    <row r="104" spans="1:14">
      <c r="A104" s="44" t="s">
        <v>384</v>
      </c>
      <c r="B104" s="44"/>
      <c r="C104" s="35"/>
      <c r="D104" s="35"/>
      <c r="E104" s="35">
        <v>45513</v>
      </c>
      <c r="F104" s="40"/>
      <c r="G104" s="40"/>
      <c r="H104" s="5"/>
      <c r="I104" s="102"/>
      <c r="J104" s="40">
        <v>60</v>
      </c>
      <c r="K104" s="40"/>
      <c r="L104" s="6">
        <v>115</v>
      </c>
      <c r="M104" s="6">
        <v>37</v>
      </c>
      <c r="N104" s="70">
        <f t="shared" si="2"/>
        <v>54.599999999999994</v>
      </c>
    </row>
    <row r="105" spans="1:14">
      <c r="A105" s="44" t="s">
        <v>389</v>
      </c>
      <c r="B105" s="44"/>
      <c r="C105" s="35"/>
      <c r="D105" s="35">
        <v>45574</v>
      </c>
      <c r="E105" s="35">
        <v>45574</v>
      </c>
      <c r="F105" s="40"/>
      <c r="G105" s="40"/>
      <c r="H105" s="5"/>
      <c r="I105" s="102"/>
      <c r="J105" s="40"/>
      <c r="K105" s="40"/>
      <c r="L105" s="6">
        <v>10</v>
      </c>
      <c r="M105" s="6">
        <v>1</v>
      </c>
      <c r="N105" s="59">
        <f t="shared" si="2"/>
        <v>6.3</v>
      </c>
    </row>
    <row r="106" spans="1:14">
      <c r="A106" s="44" t="s">
        <v>397</v>
      </c>
      <c r="B106" s="44"/>
      <c r="C106" s="35"/>
      <c r="D106" s="35">
        <v>45510</v>
      </c>
      <c r="E106" s="35">
        <v>45574</v>
      </c>
      <c r="F106" s="40"/>
      <c r="G106" s="40"/>
      <c r="H106" s="5">
        <v>31.89</v>
      </c>
      <c r="I106" s="102">
        <f>79/30*63*0.5</f>
        <v>82.95</v>
      </c>
      <c r="J106" s="40">
        <v>60</v>
      </c>
      <c r="K106" s="40"/>
      <c r="L106" s="6">
        <v>174</v>
      </c>
      <c r="M106" s="6">
        <v>79</v>
      </c>
      <c r="N106" s="59">
        <f t="shared" si="2"/>
        <v>66.5</v>
      </c>
    </row>
    <row r="107" spans="1:14">
      <c r="A107" s="44" t="s">
        <v>398</v>
      </c>
      <c r="B107" s="44"/>
      <c r="C107" s="35"/>
      <c r="D107" s="35">
        <v>45516</v>
      </c>
      <c r="E107" s="35">
        <v>45583</v>
      </c>
      <c r="F107" s="40"/>
      <c r="G107" s="40"/>
      <c r="H107" s="5"/>
      <c r="I107" s="102">
        <f>56.5/30*66*0.5</f>
        <v>62.15</v>
      </c>
      <c r="J107" s="40">
        <v>75</v>
      </c>
      <c r="K107" s="40"/>
      <c r="L107" s="6">
        <v>121.8</v>
      </c>
      <c r="M107" s="6">
        <v>47.5</v>
      </c>
      <c r="N107" s="59">
        <f t="shared" si="2"/>
        <v>52.01</v>
      </c>
    </row>
    <row r="108" spans="1:14">
      <c r="A108" s="44" t="s">
        <v>390</v>
      </c>
      <c r="B108" s="44"/>
      <c r="C108" s="35"/>
      <c r="D108" s="35">
        <v>45573</v>
      </c>
      <c r="E108" s="35">
        <v>45621</v>
      </c>
      <c r="F108" s="40"/>
      <c r="G108" s="40"/>
      <c r="H108" s="5">
        <v>16.940000000000001</v>
      </c>
      <c r="I108" s="102">
        <f>47.5/30*47</f>
        <v>74.416666666666657</v>
      </c>
      <c r="J108" s="40">
        <v>60</v>
      </c>
      <c r="K108" s="40"/>
      <c r="L108" s="6">
        <v>130</v>
      </c>
      <c r="M108" s="6">
        <v>63.5</v>
      </c>
      <c r="N108" s="59">
        <f>(L108-M108)*0.7</f>
        <v>46.55</v>
      </c>
    </row>
    <row r="109" spans="1:14">
      <c r="A109" s="44" t="s">
        <v>406</v>
      </c>
      <c r="B109" s="44"/>
      <c r="C109" s="35">
        <v>45624</v>
      </c>
      <c r="D109" s="35">
        <v>45631</v>
      </c>
      <c r="E109" s="35">
        <v>45631</v>
      </c>
      <c r="F109" s="40"/>
      <c r="G109" s="40"/>
      <c r="H109" s="5">
        <v>13.98</v>
      </c>
      <c r="I109" s="102"/>
      <c r="J109" s="40">
        <v>15</v>
      </c>
      <c r="K109" s="40"/>
      <c r="L109" s="6">
        <v>59</v>
      </c>
      <c r="M109" s="6">
        <v>38</v>
      </c>
      <c r="N109" s="59">
        <f>(L109-M109)*0.7</f>
        <v>14.7</v>
      </c>
    </row>
    <row r="110" spans="1:14">
      <c r="A110" s="44" t="s">
        <v>410</v>
      </c>
      <c r="B110" s="44"/>
      <c r="C110" s="35"/>
      <c r="D110" s="35"/>
      <c r="E110" s="35">
        <v>45613</v>
      </c>
      <c r="F110" s="40"/>
      <c r="G110" s="40"/>
      <c r="H110" s="5">
        <v>10</v>
      </c>
      <c r="I110" s="102">
        <f>-(14*14+14/30*13)</f>
        <v>-202.06666666666666</v>
      </c>
      <c r="J110" s="40">
        <v>15</v>
      </c>
      <c r="K110" s="40"/>
      <c r="L110" s="6">
        <v>30</v>
      </c>
      <c r="M110" s="6">
        <v>10</v>
      </c>
      <c r="N110" s="59">
        <f t="shared" ref="N110:N131" si="3">(L110-M110)*0.7</f>
        <v>14</v>
      </c>
    </row>
    <row r="111" spans="1:14">
      <c r="A111" s="44" t="s">
        <v>402</v>
      </c>
      <c r="B111" s="44"/>
      <c r="C111" s="35"/>
      <c r="D111" s="35">
        <v>45637</v>
      </c>
      <c r="E111" s="35">
        <v>45698</v>
      </c>
      <c r="F111" s="40"/>
      <c r="G111" s="40"/>
      <c r="H111" s="5">
        <v>13.98</v>
      </c>
      <c r="I111" s="102">
        <f>45/30*59</f>
        <v>88.5</v>
      </c>
      <c r="J111" s="40">
        <v>30</v>
      </c>
      <c r="K111" s="40"/>
      <c r="L111" s="6">
        <v>120</v>
      </c>
      <c r="M111" s="6">
        <v>45</v>
      </c>
      <c r="N111" s="59">
        <f t="shared" si="3"/>
        <v>52.5</v>
      </c>
    </row>
    <row r="112" spans="1:14">
      <c r="A112" s="44" t="s">
        <v>392</v>
      </c>
      <c r="B112" s="44"/>
      <c r="C112" s="35"/>
      <c r="D112" s="35"/>
      <c r="E112" s="35">
        <v>45694</v>
      </c>
      <c r="F112" s="40"/>
      <c r="G112" s="40"/>
      <c r="H112" s="5">
        <v>31.89</v>
      </c>
      <c r="I112" s="102" t="s">
        <v>414</v>
      </c>
      <c r="J112" s="40">
        <v>75</v>
      </c>
      <c r="K112" s="40"/>
      <c r="L112" s="6">
        <v>145</v>
      </c>
      <c r="M112" s="6">
        <v>72</v>
      </c>
      <c r="N112" s="59">
        <f t="shared" si="3"/>
        <v>51.099999999999994</v>
      </c>
    </row>
    <row r="113" spans="1:14">
      <c r="A113" s="44" t="s">
        <v>413</v>
      </c>
      <c r="B113" s="44"/>
      <c r="C113" s="35"/>
      <c r="D113" s="35"/>
      <c r="E113" s="35">
        <v>45730</v>
      </c>
      <c r="F113" s="40"/>
      <c r="G113" s="40"/>
      <c r="H113" s="5">
        <v>15.34</v>
      </c>
      <c r="I113" s="102"/>
      <c r="J113" s="40"/>
      <c r="K113" s="40"/>
      <c r="L113" s="6">
        <v>80</v>
      </c>
      <c r="M113" s="6">
        <v>28</v>
      </c>
      <c r="N113" s="59">
        <f t="shared" si="3"/>
        <v>36.4</v>
      </c>
    </row>
    <row r="114" spans="1:14">
      <c r="A114" s="44" t="s">
        <v>418</v>
      </c>
      <c r="B114" s="44"/>
      <c r="C114" s="35"/>
      <c r="D114" s="35"/>
      <c r="E114" s="35">
        <v>45737</v>
      </c>
      <c r="F114" s="40"/>
      <c r="G114" s="40"/>
      <c r="H114" s="5">
        <v>32.17</v>
      </c>
      <c r="I114" s="102"/>
      <c r="J114" s="40">
        <v>90</v>
      </c>
      <c r="K114" s="40"/>
      <c r="L114" s="6">
        <v>150</v>
      </c>
      <c r="M114" s="6">
        <v>43</v>
      </c>
      <c r="N114" s="59">
        <f t="shared" si="3"/>
        <v>74.899999999999991</v>
      </c>
    </row>
    <row r="115" spans="1:14">
      <c r="A115" s="44" t="s">
        <v>417</v>
      </c>
      <c r="B115" s="44"/>
      <c r="C115" s="35"/>
      <c r="D115" s="35"/>
      <c r="E115" s="35">
        <v>45687</v>
      </c>
      <c r="F115" s="40"/>
      <c r="G115" s="40"/>
      <c r="H115" s="5"/>
      <c r="I115" s="102"/>
      <c r="J115" s="40">
        <v>40</v>
      </c>
      <c r="K115" s="40"/>
      <c r="L115" s="6">
        <v>59</v>
      </c>
      <c r="M115" s="6">
        <v>43</v>
      </c>
      <c r="N115" s="59">
        <f t="shared" si="3"/>
        <v>11.2</v>
      </c>
    </row>
    <row r="116" spans="1:14">
      <c r="A116" s="44" t="s">
        <v>423</v>
      </c>
      <c r="B116" s="44"/>
      <c r="C116" s="35"/>
      <c r="D116" s="35"/>
      <c r="E116" s="35">
        <v>45714</v>
      </c>
      <c r="F116" s="40"/>
      <c r="G116" s="40"/>
      <c r="H116" s="5"/>
      <c r="I116" s="102"/>
      <c r="J116" s="40"/>
      <c r="K116" s="40"/>
      <c r="L116" s="6">
        <v>50</v>
      </c>
      <c r="M116" s="6">
        <v>41</v>
      </c>
      <c r="N116" s="59">
        <f t="shared" si="3"/>
        <v>6.3</v>
      </c>
    </row>
    <row r="117" spans="1:14">
      <c r="A117" s="44" t="s">
        <v>424</v>
      </c>
      <c r="B117" s="44"/>
      <c r="C117" s="35"/>
      <c r="D117" s="35"/>
      <c r="E117" s="35">
        <v>45750</v>
      </c>
      <c r="F117" s="40"/>
      <c r="G117" s="40"/>
      <c r="H117" s="5">
        <v>15.34</v>
      </c>
      <c r="I117" s="102"/>
      <c r="J117" s="40">
        <v>30</v>
      </c>
      <c r="K117" s="40"/>
      <c r="L117" s="6">
        <v>45</v>
      </c>
      <c r="M117" s="6">
        <v>7</v>
      </c>
      <c r="N117" s="59">
        <f t="shared" si="3"/>
        <v>26.599999999999998</v>
      </c>
    </row>
    <row r="118" spans="1:14">
      <c r="A118" s="44" t="s">
        <v>425</v>
      </c>
      <c r="B118" s="44"/>
      <c r="C118" s="35"/>
      <c r="D118" s="35"/>
      <c r="E118" s="35">
        <v>45765</v>
      </c>
      <c r="F118" s="40"/>
      <c r="G118" s="40"/>
      <c r="H118" s="5">
        <v>14.54</v>
      </c>
      <c r="I118" s="102"/>
      <c r="J118" s="40"/>
      <c r="K118" s="40"/>
      <c r="L118" s="6">
        <v>220</v>
      </c>
      <c r="M118" s="6">
        <v>99</v>
      </c>
      <c r="N118" s="59">
        <f t="shared" si="3"/>
        <v>84.699999999999989</v>
      </c>
    </row>
    <row r="119" spans="1:14">
      <c r="A119" s="44" t="s">
        <v>441</v>
      </c>
      <c r="B119" s="44"/>
      <c r="C119" s="35"/>
      <c r="D119" s="35"/>
      <c r="E119" s="35">
        <v>45853</v>
      </c>
      <c r="F119" s="40"/>
      <c r="G119" s="40"/>
      <c r="H119" s="5">
        <v>12.44</v>
      </c>
      <c r="I119" s="102"/>
      <c r="J119" s="40"/>
      <c r="K119" s="40"/>
      <c r="L119" s="6">
        <v>59</v>
      </c>
      <c r="M119" s="6">
        <v>38</v>
      </c>
      <c r="N119" s="59">
        <f t="shared" si="3"/>
        <v>14.7</v>
      </c>
    </row>
    <row r="120" spans="1:14">
      <c r="A120" s="44" t="s">
        <v>408</v>
      </c>
      <c r="B120" s="44"/>
      <c r="C120" s="35"/>
      <c r="D120" s="35"/>
      <c r="E120" s="35"/>
      <c r="F120" s="40"/>
      <c r="G120" s="40"/>
      <c r="H120" s="5"/>
      <c r="I120" s="102"/>
      <c r="J120" s="40"/>
      <c r="K120" s="40"/>
      <c r="L120" s="6">
        <v>69</v>
      </c>
      <c r="M120" s="6">
        <v>38</v>
      </c>
      <c r="N120" s="59">
        <f t="shared" si="3"/>
        <v>21.7</v>
      </c>
    </row>
    <row r="121" spans="1:14">
      <c r="A121" s="44" t="s">
        <v>462</v>
      </c>
      <c r="B121" s="44"/>
      <c r="C121" s="35"/>
      <c r="D121" s="35"/>
      <c r="E121" s="35"/>
      <c r="F121" s="40"/>
      <c r="G121" s="40"/>
      <c r="H121" s="5"/>
      <c r="I121" s="102"/>
      <c r="J121" s="40"/>
      <c r="K121" s="40"/>
      <c r="L121" s="6">
        <v>40</v>
      </c>
      <c r="M121" s="6">
        <v>7</v>
      </c>
      <c r="N121" s="59">
        <f t="shared" si="3"/>
        <v>23.099999999999998</v>
      </c>
    </row>
    <row r="122" spans="1:14">
      <c r="A122" s="44" t="s">
        <v>470</v>
      </c>
      <c r="B122" s="44"/>
      <c r="C122" s="35"/>
      <c r="D122" s="35"/>
      <c r="E122" s="35">
        <v>45875</v>
      </c>
      <c r="F122" s="40"/>
      <c r="G122" s="40"/>
      <c r="H122" s="5">
        <v>12.44</v>
      </c>
      <c r="I122" s="102"/>
      <c r="J122" s="40"/>
      <c r="K122" s="40"/>
      <c r="L122" s="6">
        <v>59</v>
      </c>
      <c r="M122" s="6">
        <v>38</v>
      </c>
      <c r="N122" s="59">
        <f t="shared" si="3"/>
        <v>14.7</v>
      </c>
    </row>
    <row r="123" spans="1:14">
      <c r="A123" s="44" t="s">
        <v>469</v>
      </c>
      <c r="B123" s="44"/>
      <c r="C123" s="35"/>
      <c r="D123" s="35"/>
      <c r="E123" s="35">
        <v>45875</v>
      </c>
      <c r="F123" s="40"/>
      <c r="G123" s="40"/>
      <c r="H123" s="5">
        <v>12.44</v>
      </c>
      <c r="I123" s="102"/>
      <c r="J123" s="40"/>
      <c r="K123" s="40"/>
      <c r="L123" s="6">
        <v>59</v>
      </c>
      <c r="M123" s="6">
        <v>38</v>
      </c>
      <c r="N123" s="59">
        <f t="shared" si="3"/>
        <v>14.7</v>
      </c>
    </row>
    <row r="124" spans="1:14">
      <c r="A124" s="44" t="s">
        <v>471</v>
      </c>
      <c r="B124" s="44"/>
      <c r="C124" s="35"/>
      <c r="D124" s="35"/>
      <c r="E124" s="35">
        <v>45908</v>
      </c>
      <c r="F124" s="40"/>
      <c r="G124" s="40"/>
      <c r="H124" s="5">
        <v>12.44</v>
      </c>
      <c r="I124" s="102"/>
      <c r="J124" s="40"/>
      <c r="K124" s="40"/>
      <c r="L124" s="6">
        <v>59</v>
      </c>
      <c r="M124" s="6">
        <v>38</v>
      </c>
      <c r="N124" s="59">
        <f t="shared" si="3"/>
        <v>14.7</v>
      </c>
    </row>
    <row r="125" spans="1:14">
      <c r="A125" s="44" t="s">
        <v>64</v>
      </c>
      <c r="B125" s="44"/>
      <c r="C125" s="35"/>
      <c r="D125" s="35"/>
      <c r="E125" s="35">
        <v>45951</v>
      </c>
      <c r="F125" s="40"/>
      <c r="G125" s="40"/>
      <c r="H125" s="5">
        <v>13.54</v>
      </c>
      <c r="I125" s="102"/>
      <c r="J125" s="40"/>
      <c r="K125" s="40"/>
      <c r="L125" s="6">
        <v>59</v>
      </c>
      <c r="M125" s="6">
        <v>38</v>
      </c>
      <c r="N125" s="59">
        <f t="shared" si="3"/>
        <v>14.7</v>
      </c>
    </row>
    <row r="126" spans="1:14">
      <c r="A126" s="44" t="s">
        <v>490</v>
      </c>
      <c r="B126" s="44"/>
      <c r="C126" s="35"/>
      <c r="D126" s="35"/>
      <c r="E126" s="35">
        <v>45943</v>
      </c>
      <c r="F126" s="40"/>
      <c r="G126" s="40"/>
      <c r="H126" s="5">
        <v>13.44</v>
      </c>
      <c r="I126" s="102"/>
      <c r="J126" s="40"/>
      <c r="K126" s="40"/>
      <c r="L126" s="6">
        <v>69</v>
      </c>
      <c r="M126" s="6">
        <v>38</v>
      </c>
      <c r="N126" s="59">
        <f t="shared" si="3"/>
        <v>21.7</v>
      </c>
    </row>
    <row r="127" spans="1:14">
      <c r="A127" s="44" t="s">
        <v>493</v>
      </c>
      <c r="B127" s="44"/>
      <c r="C127" s="35"/>
      <c r="D127" s="35"/>
      <c r="E127" s="35">
        <v>45890</v>
      </c>
      <c r="F127" s="40"/>
      <c r="G127" s="40"/>
      <c r="H127" s="5">
        <v>13.44</v>
      </c>
      <c r="I127" s="102"/>
      <c r="J127" s="40"/>
      <c r="K127" s="40"/>
      <c r="L127" s="6">
        <v>59</v>
      </c>
      <c r="M127" s="6">
        <v>38</v>
      </c>
      <c r="N127" s="59">
        <f t="shared" si="3"/>
        <v>14.7</v>
      </c>
    </row>
    <row r="128" spans="1:14">
      <c r="A128" s="44" t="s">
        <v>496</v>
      </c>
      <c r="B128" s="44"/>
      <c r="C128" s="35"/>
      <c r="D128" s="35"/>
      <c r="E128" s="35">
        <v>42297</v>
      </c>
      <c r="F128" s="40"/>
      <c r="G128" s="40"/>
      <c r="H128" s="5">
        <v>12.44</v>
      </c>
      <c r="I128" s="102"/>
      <c r="J128" s="40">
        <v>60</v>
      </c>
      <c r="K128" s="40"/>
      <c r="L128" s="6">
        <v>60</v>
      </c>
      <c r="M128" s="6">
        <v>25</v>
      </c>
      <c r="N128" s="59">
        <f t="shared" si="3"/>
        <v>24.5</v>
      </c>
    </row>
    <row r="129" spans="1:14">
      <c r="A129" s="44" t="s">
        <v>497</v>
      </c>
      <c r="B129" s="44"/>
      <c r="C129" s="35"/>
      <c r="D129" s="35"/>
      <c r="E129" s="35">
        <v>45755</v>
      </c>
      <c r="F129" s="40"/>
      <c r="G129" s="40"/>
      <c r="H129" s="5">
        <v>12.44</v>
      </c>
      <c r="I129" s="102"/>
      <c r="J129" s="40"/>
      <c r="K129" s="40"/>
      <c r="L129" s="6">
        <v>59</v>
      </c>
      <c r="M129" s="6">
        <v>38</v>
      </c>
      <c r="N129" s="59">
        <f t="shared" si="3"/>
        <v>14.7</v>
      </c>
    </row>
    <row r="130" spans="1:14">
      <c r="A130" s="44" t="s">
        <v>500</v>
      </c>
      <c r="B130" s="44"/>
      <c r="C130" s="35"/>
      <c r="D130" s="35"/>
      <c r="E130" s="35">
        <v>45874</v>
      </c>
      <c r="F130" s="40"/>
      <c r="G130" s="40"/>
      <c r="H130" s="5">
        <v>14.54</v>
      </c>
      <c r="I130" s="102"/>
      <c r="J130" s="40"/>
      <c r="K130" s="40"/>
      <c r="L130" s="6">
        <v>75</v>
      </c>
      <c r="M130" s="6">
        <f>38+3.5</f>
        <v>41.5</v>
      </c>
      <c r="N130" s="59">
        <f t="shared" si="3"/>
        <v>23.45</v>
      </c>
    </row>
    <row r="131" spans="1:14">
      <c r="A131" s="44" t="s">
        <v>513</v>
      </c>
      <c r="B131" s="44"/>
      <c r="C131" s="35"/>
      <c r="D131" s="35"/>
      <c r="E131" s="35"/>
      <c r="F131" s="40"/>
      <c r="G131" s="40"/>
      <c r="H131" s="5"/>
      <c r="I131" s="102"/>
      <c r="J131" s="40"/>
      <c r="K131" s="40"/>
      <c r="L131" s="6">
        <v>80</v>
      </c>
      <c r="M131" s="6">
        <v>25</v>
      </c>
      <c r="N131" s="59">
        <f t="shared" si="3"/>
        <v>38.5</v>
      </c>
    </row>
    <row r="132" spans="1:14">
      <c r="A132" s="44" t="s">
        <v>520</v>
      </c>
      <c r="B132" s="44"/>
      <c r="C132" s="35"/>
      <c r="D132" s="35"/>
      <c r="E132" s="35"/>
      <c r="F132" s="40"/>
      <c r="G132" s="40"/>
      <c r="H132" s="5"/>
      <c r="I132" s="102"/>
      <c r="J132" s="40"/>
      <c r="K132" s="40"/>
      <c r="L132" s="6">
        <v>69</v>
      </c>
      <c r="M132" s="6">
        <v>43</v>
      </c>
      <c r="N132" s="59">
        <f>(L132-M132)*0.7*12</f>
        <v>218.39999999999998</v>
      </c>
    </row>
    <row r="133" spans="1:14">
      <c r="A133" s="44" t="s">
        <v>524</v>
      </c>
      <c r="B133" s="44"/>
      <c r="C133" s="35"/>
      <c r="D133" s="35"/>
      <c r="E133" s="35">
        <v>46010</v>
      </c>
      <c r="F133" s="40"/>
      <c r="G133" s="40"/>
      <c r="H133" s="5">
        <v>31.19</v>
      </c>
      <c r="I133" s="102"/>
      <c r="J133" s="40"/>
      <c r="K133" s="40"/>
      <c r="L133" s="6">
        <v>60</v>
      </c>
      <c r="M133" s="18">
        <v>25</v>
      </c>
      <c r="N133" s="70">
        <f t="shared" ref="N133:N137" si="4">(L133-M133)*0.7</f>
        <v>24.5</v>
      </c>
    </row>
    <row r="134" spans="1:14">
      <c r="A134" s="44" t="s">
        <v>526</v>
      </c>
      <c r="B134" s="44"/>
      <c r="C134" s="35"/>
      <c r="D134" s="35"/>
      <c r="E134" s="35">
        <v>45980</v>
      </c>
      <c r="F134" s="40"/>
      <c r="G134" s="40"/>
      <c r="H134" s="5"/>
      <c r="I134" s="102"/>
      <c r="J134" s="40"/>
      <c r="K134" s="40"/>
      <c r="L134" s="6">
        <v>59</v>
      </c>
      <c r="M134" s="18">
        <v>36.5</v>
      </c>
      <c r="N134" s="70">
        <f t="shared" si="4"/>
        <v>15.749999999999998</v>
      </c>
    </row>
    <row r="135" spans="1:14">
      <c r="A135" s="44" t="s">
        <v>525</v>
      </c>
      <c r="B135" s="44"/>
      <c r="C135" s="35"/>
      <c r="D135" s="35"/>
      <c r="E135" s="35">
        <v>46002</v>
      </c>
      <c r="F135" s="40"/>
      <c r="G135" s="40"/>
      <c r="H135" s="5">
        <v>13.54</v>
      </c>
      <c r="I135" s="102"/>
      <c r="J135" s="40"/>
      <c r="K135" s="40"/>
      <c r="L135" s="6">
        <v>25</v>
      </c>
      <c r="M135" s="18">
        <v>4.5</v>
      </c>
      <c r="N135" s="70">
        <f t="shared" si="4"/>
        <v>14.35</v>
      </c>
    </row>
    <row r="136" spans="1:14">
      <c r="A136" s="44" t="s">
        <v>528</v>
      </c>
      <c r="B136" s="44"/>
      <c r="C136" s="35"/>
      <c r="D136" s="35"/>
      <c r="E136" s="35">
        <v>42332</v>
      </c>
      <c r="F136" s="40"/>
      <c r="G136" s="40"/>
      <c r="H136" s="5">
        <v>13.54</v>
      </c>
      <c r="I136" s="102"/>
      <c r="J136" s="40"/>
      <c r="K136" s="40"/>
      <c r="L136" s="6">
        <v>69</v>
      </c>
      <c r="M136" s="18">
        <v>36.5</v>
      </c>
      <c r="N136" s="70">
        <f t="shared" si="4"/>
        <v>22.75</v>
      </c>
    </row>
    <row r="137" spans="1:14">
      <c r="A137" s="44" t="s">
        <v>521</v>
      </c>
      <c r="B137" s="44"/>
      <c r="C137" s="35"/>
      <c r="D137" s="35"/>
      <c r="E137" s="35">
        <v>46009</v>
      </c>
      <c r="F137" s="40"/>
      <c r="G137" s="40"/>
      <c r="H137" s="5">
        <v>13.54</v>
      </c>
      <c r="I137" s="102"/>
      <c r="J137" s="40"/>
      <c r="K137" s="40"/>
      <c r="L137" s="6">
        <v>59</v>
      </c>
      <c r="M137" s="18">
        <v>36.5</v>
      </c>
      <c r="N137" s="70">
        <f t="shared" si="4"/>
        <v>15.749999999999998</v>
      </c>
    </row>
    <row r="138" spans="1:14">
      <c r="A138" s="44" t="s">
        <v>534</v>
      </c>
      <c r="B138" s="44"/>
      <c r="C138" s="35"/>
      <c r="D138" s="35"/>
      <c r="E138" s="35">
        <v>46054</v>
      </c>
      <c r="F138" s="40"/>
      <c r="G138" s="40"/>
      <c r="H138" s="5">
        <v>13.73</v>
      </c>
      <c r="I138" s="102"/>
      <c r="J138" s="40"/>
      <c r="K138" s="40"/>
      <c r="L138" s="6">
        <v>59</v>
      </c>
      <c r="M138" s="6">
        <v>36.5</v>
      </c>
      <c r="N138" s="59">
        <f>(L138-M138)*0.7</f>
        <v>15.749999999999998</v>
      </c>
    </row>
    <row r="139" spans="1:14">
      <c r="A139" s="44" t="s">
        <v>537</v>
      </c>
      <c r="B139" s="44"/>
      <c r="C139" s="35"/>
      <c r="D139" s="35"/>
      <c r="E139" s="35">
        <v>46033</v>
      </c>
      <c r="F139" s="40"/>
      <c r="G139" s="40"/>
      <c r="H139" s="5">
        <v>25.29</v>
      </c>
      <c r="I139" s="102"/>
      <c r="J139" s="40"/>
      <c r="K139" s="40"/>
      <c r="L139" s="6">
        <v>80</v>
      </c>
      <c r="M139" s="6">
        <f>3.5*3</f>
        <v>10.5</v>
      </c>
      <c r="N139" s="59">
        <f>(L139-M139)*0.7</f>
        <v>48.65</v>
      </c>
    </row>
    <row r="140" spans="1:14">
      <c r="A140" s="10" t="s">
        <v>183</v>
      </c>
      <c r="B140" s="44"/>
      <c r="C140" s="35"/>
      <c r="D140" s="35"/>
      <c r="E140" s="35">
        <v>46052</v>
      </c>
      <c r="F140" s="40"/>
      <c r="G140" s="40"/>
      <c r="H140" s="5">
        <v>13.73</v>
      </c>
      <c r="I140" s="102"/>
      <c r="J140" s="40"/>
      <c r="K140" s="40"/>
      <c r="L140" s="6">
        <v>69</v>
      </c>
      <c r="M140" s="6">
        <v>36.5</v>
      </c>
      <c r="N140" s="59">
        <f>(L140-M140)*0.7</f>
        <v>22.75</v>
      </c>
    </row>
    <row r="141" spans="1:14">
      <c r="A141" s="10" t="s">
        <v>543</v>
      </c>
      <c r="B141" s="44"/>
      <c r="C141" s="35"/>
      <c r="D141" s="35"/>
      <c r="E141" s="35">
        <v>46063</v>
      </c>
      <c r="F141" s="40"/>
      <c r="G141" s="40"/>
      <c r="H141" s="5">
        <v>13.73</v>
      </c>
      <c r="I141" s="102"/>
      <c r="J141" s="40"/>
      <c r="K141" s="40"/>
      <c r="L141" s="6">
        <v>59</v>
      </c>
      <c r="M141" s="6">
        <v>36.5</v>
      </c>
      <c r="N141" s="59">
        <f>(L141-M141)*0.7/30*18</f>
        <v>9.4499999999999993</v>
      </c>
    </row>
    <row r="142" spans="1:14">
      <c r="C142" s="36"/>
      <c r="D142" s="36"/>
      <c r="F142" s="28"/>
      <c r="G142" s="28"/>
      <c r="H142" s="30">
        <f>SUM(H140:H141)</f>
        <v>27.46</v>
      </c>
      <c r="I142" s="30"/>
      <c r="M142" s="62" t="s">
        <v>4</v>
      </c>
      <c r="N142" s="18">
        <f>SUM(N2:N141)</f>
        <v>4978.1399999999949</v>
      </c>
    </row>
    <row r="143" spans="1:14">
      <c r="C143" s="36"/>
      <c r="D143" s="36"/>
      <c r="F143" s="28"/>
      <c r="G143" s="28"/>
      <c r="H143" s="30"/>
      <c r="I143" s="104"/>
      <c r="M143" s="61" t="s">
        <v>251</v>
      </c>
      <c r="N143" s="6">
        <f>N142-H142+N157</f>
        <v>5055.3699999999944</v>
      </c>
    </row>
    <row r="144" spans="1:14">
      <c r="C144" s="36"/>
      <c r="D144" s="36"/>
      <c r="F144" s="28"/>
      <c r="G144" s="28"/>
      <c r="H144" s="30"/>
      <c r="I144" s="104"/>
    </row>
    <row r="145" spans="1:16">
      <c r="M145" s="1"/>
    </row>
    <row r="146" spans="1:16">
      <c r="A146" s="28"/>
      <c r="B146" s="28"/>
      <c r="E146" s="15"/>
      <c r="F146" s="1"/>
      <c r="G146" s="1"/>
      <c r="H146" s="1"/>
      <c r="J146" s="1"/>
      <c r="K146" s="1"/>
      <c r="M146" s="1"/>
      <c r="N146" s="66"/>
    </row>
    <row r="147" spans="1:16">
      <c r="L147" s="1"/>
      <c r="M147" s="1"/>
    </row>
    <row r="148" spans="1:16">
      <c r="L148" s="69" t="s">
        <v>547</v>
      </c>
      <c r="M148"/>
      <c r="N148" s="69"/>
      <c r="P148" s="42"/>
    </row>
    <row r="149" spans="1:16">
      <c r="L149" s="69" t="s">
        <v>546</v>
      </c>
      <c r="N149">
        <v>-324.5</v>
      </c>
    </row>
    <row r="150" spans="1:16">
      <c r="L150" s="69" t="s">
        <v>541</v>
      </c>
      <c r="N150">
        <v>-13.73</v>
      </c>
    </row>
    <row r="151" spans="1:16">
      <c r="L151" s="69" t="s">
        <v>540</v>
      </c>
      <c r="N151">
        <f>72.45+160*0.7</f>
        <v>184.45</v>
      </c>
    </row>
    <row r="152" spans="1:16">
      <c r="L152" s="69" t="s">
        <v>542</v>
      </c>
      <c r="N152">
        <f>72.45+50*0.7</f>
        <v>107.45</v>
      </c>
    </row>
    <row r="153" spans="1:16">
      <c r="L153" s="69" t="s">
        <v>544</v>
      </c>
      <c r="N153">
        <f>72.45+50*0.7</f>
        <v>107.45</v>
      </c>
    </row>
    <row r="154" spans="1:16">
      <c r="L154" t="s">
        <v>473</v>
      </c>
      <c r="M154" s="1"/>
      <c r="N154">
        <v>184.3</v>
      </c>
    </row>
    <row r="155" spans="1:16">
      <c r="L155" s="69" t="s">
        <v>545</v>
      </c>
      <c r="M155" s="1"/>
      <c r="N155">
        <v>-140.72999999999999</v>
      </c>
    </row>
    <row r="156" spans="1:16">
      <c r="L156" s="69" t="s">
        <v>548</v>
      </c>
      <c r="M156" s="1"/>
      <c r="N156">
        <v>-306.75</v>
      </c>
    </row>
    <row r="157" spans="1:16">
      <c r="L157" s="1" t="s">
        <v>503</v>
      </c>
      <c r="N157" s="108">
        <f>SUM(N145:N155)</f>
        <v>104.69</v>
      </c>
      <c r="P157" s="42"/>
    </row>
    <row r="158" spans="1:16">
      <c r="L158" s="1"/>
    </row>
    <row r="159" spans="1:16">
      <c r="L159" s="1"/>
      <c r="N159" s="1"/>
      <c r="P159" s="42"/>
    </row>
    <row r="160" spans="1:16">
      <c r="L160" s="1"/>
      <c r="N160" s="1"/>
      <c r="P160" s="42"/>
    </row>
    <row r="161" spans="1:16">
      <c r="L161" s="1"/>
      <c r="N161" s="1"/>
      <c r="P161" s="42"/>
    </row>
    <row r="162" spans="1:16">
      <c r="L162" s="1"/>
      <c r="N162" s="1"/>
      <c r="P162" s="42"/>
    </row>
    <row r="163" spans="1:16">
      <c r="L163" s="1"/>
      <c r="N163" s="1"/>
      <c r="P163" s="42"/>
    </row>
    <row r="164" spans="1:16">
      <c r="L164" s="1"/>
      <c r="N164" s="1"/>
      <c r="P164" s="42"/>
    </row>
    <row r="165" spans="1:16" s="66" customFormat="1">
      <c r="A165"/>
      <c r="B165"/>
      <c r="C165"/>
      <c r="D165"/>
      <c r="E165"/>
      <c r="F165"/>
      <c r="G165"/>
      <c r="H165"/>
      <c r="I165" s="105"/>
      <c r="J165"/>
      <c r="K165"/>
      <c r="L165" s="1"/>
      <c r="N165"/>
      <c r="O165"/>
      <c r="P165"/>
    </row>
    <row r="166" spans="1:16" s="66" customFormat="1">
      <c r="A166"/>
      <c r="B166"/>
      <c r="C166"/>
      <c r="D166"/>
      <c r="E166"/>
      <c r="F166"/>
      <c r="G166"/>
      <c r="H166"/>
      <c r="I166" s="105"/>
      <c r="J166"/>
      <c r="K166"/>
      <c r="L166"/>
      <c r="M166" s="1"/>
      <c r="N166"/>
      <c r="O166"/>
      <c r="P166"/>
    </row>
  </sheetData>
  <autoFilter ref="A1:P143">
    <sortState ref="A2:P70">
      <sortCondition ref="B1:B70"/>
    </sortState>
  </autoFilter>
  <pageMargins left="0.7" right="0.7" top="0.75" bottom="0.75" header="0.3" footer="0.3"/>
  <pageSetup paperSize="9" orientation="portrait" r:id="rId1"/>
</worksheet>
</file>

<file path=xl/worksheets/sheet107.xml><?xml version="1.0" encoding="utf-8"?>
<worksheet xmlns="http://schemas.openxmlformats.org/spreadsheetml/2006/main" xmlns:r="http://schemas.openxmlformats.org/officeDocument/2006/relationships">
  <dimension ref="A1:X152"/>
  <sheetViews>
    <sheetView tabSelected="1" workbookViewId="0">
      <selection activeCell="F5" sqref="F5"/>
    </sheetView>
  </sheetViews>
  <sheetFormatPr baseColWidth="10" defaultRowHeight="15"/>
  <cols>
    <col min="1" max="1" width="16.42578125" style="111" bestFit="1" customWidth="1"/>
    <col min="2" max="2" width="22.140625" style="111" bestFit="1" customWidth="1"/>
    <col min="3" max="3" width="44" bestFit="1" customWidth="1"/>
    <col min="4" max="4" width="15.5703125" style="111" customWidth="1"/>
    <col min="5" max="5" width="31.28515625" style="111" bestFit="1" customWidth="1"/>
    <col min="6" max="6" width="14.42578125" style="111" customWidth="1"/>
    <col min="7" max="9" width="11.85546875" customWidth="1"/>
    <col min="13" max="13" width="10.85546875" style="105"/>
    <col min="16" max="16" width="19.140625" customWidth="1"/>
    <col min="17" max="17" width="10.85546875" style="66"/>
    <col min="19" max="19" width="0" hidden="1" customWidth="1"/>
    <col min="20" max="20" width="27.42578125" style="142" bestFit="1" customWidth="1"/>
    <col min="21" max="21" width="14.140625" style="111" customWidth="1"/>
    <col min="22" max="23" width="11.42578125" style="111"/>
    <col min="24" max="24" width="14.5703125" style="111" customWidth="1"/>
  </cols>
  <sheetData>
    <row r="1" spans="1:24">
      <c r="Q1" s="62" t="s">
        <v>4</v>
      </c>
      <c r="R1" s="18">
        <f>SUM(R5:R144)</f>
        <v>4289.2000000000007</v>
      </c>
      <c r="S1" s="18">
        <f t="shared" ref="S1:W1" si="0">SUM(S5:S144)</f>
        <v>0</v>
      </c>
      <c r="T1" s="18"/>
      <c r="U1" s="18"/>
      <c r="V1" s="18"/>
      <c r="W1" s="18">
        <f t="shared" si="0"/>
        <v>5448.25</v>
      </c>
    </row>
    <row r="2" spans="1:24">
      <c r="Q2" s="131" t="s">
        <v>578</v>
      </c>
      <c r="R2" s="33">
        <v>-303.75</v>
      </c>
      <c r="V2" s="116"/>
      <c r="W2" s="117"/>
    </row>
    <row r="3" spans="1:24" ht="15.75" thickBot="1">
      <c r="Q3" s="61" t="s">
        <v>251</v>
      </c>
      <c r="R3" s="6">
        <f>R1+R2</f>
        <v>3985.4500000000007</v>
      </c>
      <c r="V3" s="116">
        <v>2</v>
      </c>
      <c r="W3" s="117">
        <v>0.7</v>
      </c>
      <c r="X3" s="116">
        <f>SUM(X5:X144)</f>
        <v>-1114.2500000000002</v>
      </c>
    </row>
    <row r="4" spans="1:24" s="115" customFormat="1" ht="60.75" thickBot="1">
      <c r="A4" s="113" t="s">
        <v>591</v>
      </c>
      <c r="B4" s="113" t="s">
        <v>592</v>
      </c>
      <c r="C4" s="112" t="s">
        <v>558</v>
      </c>
      <c r="D4" s="122" t="s">
        <v>554</v>
      </c>
      <c r="E4" s="122" t="s">
        <v>556</v>
      </c>
      <c r="F4" s="123" t="s">
        <v>565</v>
      </c>
      <c r="G4" s="113" t="s">
        <v>0</v>
      </c>
      <c r="H4" s="113" t="s">
        <v>214</v>
      </c>
      <c r="I4" s="129" t="s">
        <v>1</v>
      </c>
      <c r="J4" s="132" t="s">
        <v>159</v>
      </c>
      <c r="K4" s="132" t="s">
        <v>162</v>
      </c>
      <c r="L4" s="136" t="s">
        <v>3</v>
      </c>
      <c r="M4" s="135" t="s">
        <v>11</v>
      </c>
      <c r="N4" s="136" t="s">
        <v>36</v>
      </c>
      <c r="O4" s="136" t="s">
        <v>12</v>
      </c>
      <c r="P4" s="139" t="s">
        <v>5</v>
      </c>
      <c r="Q4" s="114" t="s">
        <v>7</v>
      </c>
      <c r="R4" s="113" t="s">
        <v>8</v>
      </c>
      <c r="S4" s="140" t="s">
        <v>35</v>
      </c>
      <c r="T4" s="141" t="s">
        <v>568</v>
      </c>
      <c r="U4" s="127" t="s">
        <v>569</v>
      </c>
      <c r="V4" s="124" t="s">
        <v>567</v>
      </c>
      <c r="W4" s="125" t="s">
        <v>562</v>
      </c>
      <c r="X4" s="126" t="s">
        <v>563</v>
      </c>
    </row>
    <row r="5" spans="1:24">
      <c r="A5" s="110">
        <v>66</v>
      </c>
      <c r="B5" s="110">
        <v>1000142</v>
      </c>
      <c r="C5" s="137" t="s">
        <v>59</v>
      </c>
      <c r="D5" s="110" t="s">
        <v>561</v>
      </c>
      <c r="E5" s="110" t="s">
        <v>566</v>
      </c>
      <c r="F5" s="110">
        <v>4</v>
      </c>
      <c r="G5" s="4">
        <v>43528</v>
      </c>
      <c r="H5" s="4"/>
      <c r="I5" s="4">
        <v>43538</v>
      </c>
      <c r="J5" s="49"/>
      <c r="K5" s="49"/>
      <c r="L5" s="5">
        <v>14.92</v>
      </c>
      <c r="M5" s="102">
        <f>77/30*10</f>
        <v>25.666666666666668</v>
      </c>
      <c r="N5" s="5"/>
      <c r="O5" s="5"/>
      <c r="P5" s="6">
        <v>169</v>
      </c>
      <c r="Q5" s="61">
        <f>64+11+2</f>
        <v>77</v>
      </c>
      <c r="R5" s="6">
        <f>(P5-Q5)*0.7</f>
        <v>64.399999999999991</v>
      </c>
      <c r="S5" s="2"/>
      <c r="T5" s="144"/>
      <c r="U5" s="110">
        <v>36.5</v>
      </c>
      <c r="V5" s="148">
        <f>F5*$V$3</f>
        <v>8</v>
      </c>
      <c r="W5" s="149">
        <f t="shared" ref="W5:W36" si="1">((P5-(V5+U5+K5))*$W$3)+K5</f>
        <v>87.149999999999991</v>
      </c>
      <c r="X5" s="148">
        <f t="shared" ref="X5:X36" si="2">R5-W5</f>
        <v>-22.75</v>
      </c>
    </row>
    <row r="6" spans="1:24">
      <c r="A6" s="110">
        <v>66</v>
      </c>
      <c r="B6" s="110">
        <v>1000142</v>
      </c>
      <c r="C6" s="137" t="s">
        <v>172</v>
      </c>
      <c r="D6" s="110" t="s">
        <v>555</v>
      </c>
      <c r="E6" s="110" t="s">
        <v>557</v>
      </c>
      <c r="F6" s="118"/>
      <c r="G6" s="4">
        <v>44705</v>
      </c>
      <c r="H6" s="4"/>
      <c r="I6" s="4">
        <v>44715</v>
      </c>
      <c r="J6" s="2"/>
      <c r="K6" s="49"/>
      <c r="L6" s="5">
        <v>10.039999999999999</v>
      </c>
      <c r="M6" s="102">
        <f>25/30*9</f>
        <v>7.5</v>
      </c>
      <c r="N6" s="5"/>
      <c r="O6" s="5"/>
      <c r="P6" s="6">
        <v>50</v>
      </c>
      <c r="Q6" s="61">
        <v>25</v>
      </c>
      <c r="R6" s="6">
        <f>(50-25)*0.7</f>
        <v>17.5</v>
      </c>
      <c r="S6" s="2"/>
      <c r="T6" s="143" t="s">
        <v>572</v>
      </c>
      <c r="U6" s="110">
        <v>27</v>
      </c>
      <c r="V6" s="152"/>
      <c r="W6" s="149">
        <f t="shared" si="1"/>
        <v>16.099999999999998</v>
      </c>
      <c r="X6" s="148">
        <f t="shared" si="2"/>
        <v>1.4000000000000021</v>
      </c>
    </row>
    <row r="7" spans="1:24">
      <c r="A7" s="110">
        <v>118</v>
      </c>
      <c r="B7" s="110">
        <v>1000012</v>
      </c>
      <c r="C7" s="137" t="s">
        <v>64</v>
      </c>
      <c r="D7" s="110" t="s">
        <v>559</v>
      </c>
      <c r="E7" s="110" t="s">
        <v>560</v>
      </c>
      <c r="F7" s="110">
        <v>5</v>
      </c>
      <c r="G7" s="35"/>
      <c r="H7" s="35">
        <v>45469</v>
      </c>
      <c r="I7" s="4">
        <v>45469</v>
      </c>
      <c r="J7" s="2"/>
      <c r="K7" s="2"/>
      <c r="L7" s="5"/>
      <c r="M7" s="102"/>
      <c r="N7" s="40"/>
      <c r="O7" s="40"/>
      <c r="P7" s="6">
        <v>100</v>
      </c>
      <c r="Q7" s="6">
        <v>5</v>
      </c>
      <c r="R7" s="59">
        <f>(P7-Q7)*0.7</f>
        <v>66.5</v>
      </c>
      <c r="S7" s="2"/>
      <c r="T7" s="143" t="s">
        <v>571</v>
      </c>
      <c r="U7" s="118"/>
      <c r="V7" s="153">
        <v>5</v>
      </c>
      <c r="W7" s="149">
        <f t="shared" si="1"/>
        <v>66.5</v>
      </c>
      <c r="X7" s="148">
        <f t="shared" si="2"/>
        <v>0</v>
      </c>
    </row>
    <row r="8" spans="1:24">
      <c r="A8" s="110">
        <v>118</v>
      </c>
      <c r="B8" s="110">
        <v>1000012</v>
      </c>
      <c r="C8" s="137" t="s">
        <v>64</v>
      </c>
      <c r="D8" s="119" t="s">
        <v>559</v>
      </c>
      <c r="E8" s="119" t="s">
        <v>560</v>
      </c>
      <c r="F8" s="119">
        <v>10</v>
      </c>
      <c r="G8" s="4">
        <v>43627</v>
      </c>
      <c r="H8" s="4"/>
      <c r="I8" s="4">
        <v>43629</v>
      </c>
      <c r="J8" s="49"/>
      <c r="K8" s="49"/>
      <c r="L8" s="5">
        <v>10.86</v>
      </c>
      <c r="M8" s="102">
        <f>25/30*2</f>
        <v>1.6666666666666667</v>
      </c>
      <c r="N8" s="5"/>
      <c r="O8" s="5">
        <f>L8+M8</f>
        <v>12.526666666666666</v>
      </c>
      <c r="P8" s="6">
        <v>200</v>
      </c>
      <c r="Q8" s="61">
        <v>11</v>
      </c>
      <c r="R8" s="5">
        <f>(P8-Q8)*0.7</f>
        <v>132.29999999999998</v>
      </c>
      <c r="S8" s="2"/>
      <c r="T8" s="144" t="s">
        <v>571</v>
      </c>
      <c r="U8" s="118"/>
      <c r="V8" s="158">
        <v>10</v>
      </c>
      <c r="W8" s="149">
        <f t="shared" si="1"/>
        <v>133</v>
      </c>
      <c r="X8" s="148">
        <f t="shared" si="2"/>
        <v>-0.70000000000001705</v>
      </c>
    </row>
    <row r="9" spans="1:24">
      <c r="A9" s="110">
        <v>118</v>
      </c>
      <c r="B9" s="110">
        <v>1000012</v>
      </c>
      <c r="C9" s="137" t="s">
        <v>64</v>
      </c>
      <c r="D9" s="110" t="s">
        <v>555</v>
      </c>
      <c r="E9" s="110" t="s">
        <v>564</v>
      </c>
      <c r="F9" s="118"/>
      <c r="G9" s="35"/>
      <c r="H9" s="35"/>
      <c r="I9" s="35">
        <v>45951</v>
      </c>
      <c r="J9" s="2"/>
      <c r="K9" s="2"/>
      <c r="L9" s="5">
        <v>13.54</v>
      </c>
      <c r="M9" s="102"/>
      <c r="N9" s="40"/>
      <c r="O9" s="40"/>
      <c r="P9" s="6">
        <v>59</v>
      </c>
      <c r="Q9" s="6">
        <v>38</v>
      </c>
      <c r="R9" s="59">
        <f>(P9-Q9)*0.7</f>
        <v>14.7</v>
      </c>
      <c r="S9" s="2"/>
      <c r="T9" s="144"/>
      <c r="U9" s="110">
        <v>36.5</v>
      </c>
      <c r="V9" s="152"/>
      <c r="W9" s="149">
        <f t="shared" si="1"/>
        <v>15.749999999999998</v>
      </c>
      <c r="X9" s="148">
        <f t="shared" si="2"/>
        <v>-1.0499999999999989</v>
      </c>
    </row>
    <row r="10" spans="1:24">
      <c r="A10" s="110" t="s">
        <v>593</v>
      </c>
      <c r="B10" s="110">
        <v>1000299</v>
      </c>
      <c r="C10" s="137" t="s">
        <v>598</v>
      </c>
      <c r="D10" s="110" t="s">
        <v>561</v>
      </c>
      <c r="E10" s="110" t="s">
        <v>570</v>
      </c>
      <c r="F10" s="110">
        <v>1</v>
      </c>
      <c r="G10" s="4">
        <v>42560</v>
      </c>
      <c r="H10" s="4"/>
      <c r="I10" s="4">
        <v>42571</v>
      </c>
      <c r="J10" s="49"/>
      <c r="K10" s="49"/>
      <c r="L10" s="5">
        <v>8.5</v>
      </c>
      <c r="M10" s="102">
        <f>25*41/30</f>
        <v>34.166666666666664</v>
      </c>
      <c r="N10" s="5"/>
      <c r="O10" s="5"/>
      <c r="P10" s="6">
        <v>107.5</v>
      </c>
      <c r="Q10" s="61">
        <v>25</v>
      </c>
      <c r="R10" s="6">
        <f>(P10-Q10)*0.7</f>
        <v>57.749999999999993</v>
      </c>
      <c r="S10" s="2"/>
      <c r="T10" s="144" t="s">
        <v>572</v>
      </c>
      <c r="U10" s="110">
        <v>27</v>
      </c>
      <c r="V10" s="157"/>
      <c r="W10" s="149">
        <f t="shared" si="1"/>
        <v>56.349999999999994</v>
      </c>
      <c r="X10" s="148">
        <f t="shared" si="2"/>
        <v>1.3999999999999986</v>
      </c>
    </row>
    <row r="11" spans="1:24">
      <c r="A11" s="110" t="s">
        <v>593</v>
      </c>
      <c r="B11" s="110">
        <v>1000042</v>
      </c>
      <c r="C11" s="137" t="s">
        <v>599</v>
      </c>
      <c r="D11" s="110" t="s">
        <v>561</v>
      </c>
      <c r="E11" s="110" t="s">
        <v>570</v>
      </c>
      <c r="F11" s="110">
        <v>2</v>
      </c>
      <c r="G11" s="4">
        <v>42546</v>
      </c>
      <c r="H11" s="4"/>
      <c r="I11" s="4">
        <v>42571</v>
      </c>
      <c r="J11" s="49"/>
      <c r="K11" s="49"/>
      <c r="L11" s="5">
        <f>6.9+8.5</f>
        <v>15.4</v>
      </c>
      <c r="M11" s="102">
        <f>25*25/30</f>
        <v>20.833333333333332</v>
      </c>
      <c r="N11" s="5"/>
      <c r="O11" s="5"/>
      <c r="P11" s="6">
        <v>120</v>
      </c>
      <c r="Q11" s="61">
        <v>25</v>
      </c>
      <c r="R11" s="6">
        <f>(P11-Q11)*0.7</f>
        <v>66.5</v>
      </c>
      <c r="S11" s="2"/>
      <c r="T11" s="144" t="s">
        <v>572</v>
      </c>
      <c r="U11" s="110">
        <v>27</v>
      </c>
      <c r="V11" s="151"/>
      <c r="W11" s="149">
        <f t="shared" si="1"/>
        <v>65.099999999999994</v>
      </c>
      <c r="X11" s="148">
        <f t="shared" si="2"/>
        <v>1.4000000000000057</v>
      </c>
    </row>
    <row r="12" spans="1:24">
      <c r="A12" s="110">
        <v>450</v>
      </c>
      <c r="B12" s="110">
        <v>1000227</v>
      </c>
      <c r="C12" s="137" t="s">
        <v>149</v>
      </c>
      <c r="D12" s="110" t="s">
        <v>561</v>
      </c>
      <c r="E12" s="110" t="s">
        <v>566</v>
      </c>
      <c r="F12" s="110">
        <v>4</v>
      </c>
      <c r="G12" s="35">
        <v>44880</v>
      </c>
      <c r="H12" s="35"/>
      <c r="I12" s="35">
        <v>44575</v>
      </c>
      <c r="J12" s="2"/>
      <c r="K12" s="49"/>
      <c r="L12" s="5">
        <v>13.4</v>
      </c>
      <c r="M12" s="102"/>
      <c r="N12" s="5">
        <v>50</v>
      </c>
      <c r="O12" s="5"/>
      <c r="P12" s="6">
        <v>160</v>
      </c>
      <c r="Q12" s="61">
        <f>71+9</f>
        <v>80</v>
      </c>
      <c r="R12" s="6">
        <f>(160-80)*0.7</f>
        <v>56</v>
      </c>
      <c r="S12" s="2"/>
      <c r="T12" s="144"/>
      <c r="U12" s="110">
        <v>36.5</v>
      </c>
      <c r="V12" s="149">
        <f>F12*$V$3</f>
        <v>8</v>
      </c>
      <c r="W12" s="149">
        <f t="shared" si="1"/>
        <v>80.849999999999994</v>
      </c>
      <c r="X12" s="148">
        <f t="shared" si="2"/>
        <v>-24.849999999999994</v>
      </c>
    </row>
    <row r="13" spans="1:24">
      <c r="A13" s="110">
        <v>137</v>
      </c>
      <c r="B13" s="110">
        <v>1000300</v>
      </c>
      <c r="C13" s="137" t="s">
        <v>320</v>
      </c>
      <c r="D13" s="110" t="s">
        <v>555</v>
      </c>
      <c r="E13" s="110" t="s">
        <v>564</v>
      </c>
      <c r="F13" s="118"/>
      <c r="G13" s="35">
        <v>45177</v>
      </c>
      <c r="H13" s="35">
        <v>45196</v>
      </c>
      <c r="I13" s="35">
        <v>45196</v>
      </c>
      <c r="J13" s="2"/>
      <c r="K13" s="2"/>
      <c r="L13" s="5">
        <v>10.44</v>
      </c>
      <c r="M13" s="102">
        <f>38/30*21</f>
        <v>26.599999999999998</v>
      </c>
      <c r="N13" s="40"/>
      <c r="O13" s="40"/>
      <c r="P13" s="6">
        <v>69</v>
      </c>
      <c r="Q13" s="6">
        <v>38</v>
      </c>
      <c r="R13" s="59">
        <f>(69-38)*0.7</f>
        <v>21.7</v>
      </c>
      <c r="S13" s="2"/>
      <c r="T13" s="144"/>
      <c r="U13" s="110">
        <v>36.5</v>
      </c>
      <c r="V13" s="152"/>
      <c r="W13" s="149">
        <f t="shared" si="1"/>
        <v>22.75</v>
      </c>
      <c r="X13" s="148">
        <f t="shared" si="2"/>
        <v>-1.0500000000000007</v>
      </c>
    </row>
    <row r="14" spans="1:24">
      <c r="A14" s="110">
        <v>137</v>
      </c>
      <c r="B14" s="110">
        <v>1000300</v>
      </c>
      <c r="C14" s="137" t="s">
        <v>343</v>
      </c>
      <c r="D14" s="110" t="s">
        <v>555</v>
      </c>
      <c r="E14" s="110" t="s">
        <v>564</v>
      </c>
      <c r="F14" s="118"/>
      <c r="G14" s="35"/>
      <c r="H14" s="35"/>
      <c r="I14" s="4">
        <v>45336</v>
      </c>
      <c r="J14" s="2"/>
      <c r="K14" s="2"/>
      <c r="L14" s="5">
        <v>10.92</v>
      </c>
      <c r="M14" s="102"/>
      <c r="N14" s="40"/>
      <c r="O14" s="40"/>
      <c r="P14" s="6">
        <v>59</v>
      </c>
      <c r="Q14" s="18">
        <v>38</v>
      </c>
      <c r="R14" s="70">
        <f>(P14-Q14)*0.7</f>
        <v>14.7</v>
      </c>
      <c r="S14" s="2"/>
      <c r="T14" s="144"/>
      <c r="U14" s="110">
        <v>36.5</v>
      </c>
      <c r="V14" s="150"/>
      <c r="W14" s="149">
        <f t="shared" si="1"/>
        <v>15.749999999999998</v>
      </c>
      <c r="X14" s="148">
        <f t="shared" si="2"/>
        <v>-1.0499999999999989</v>
      </c>
    </row>
    <row r="15" spans="1:24">
      <c r="A15" s="110">
        <v>488</v>
      </c>
      <c r="B15" s="110">
        <v>1000258</v>
      </c>
      <c r="C15" s="137" t="s">
        <v>190</v>
      </c>
      <c r="D15" s="110" t="s">
        <v>559</v>
      </c>
      <c r="E15" s="110" t="s">
        <v>560</v>
      </c>
      <c r="F15" s="110">
        <v>3</v>
      </c>
      <c r="G15" s="4"/>
      <c r="H15" s="4">
        <v>44879</v>
      </c>
      <c r="I15" s="35">
        <v>44887</v>
      </c>
      <c r="J15" s="134" t="s">
        <v>161</v>
      </c>
      <c r="K15" s="133">
        <v>10</v>
      </c>
      <c r="L15" s="5">
        <v>14.6</v>
      </c>
      <c r="M15" s="102">
        <f>34/30*8</f>
        <v>9.0666666666666664</v>
      </c>
      <c r="N15" s="5">
        <v>45</v>
      </c>
      <c r="O15" s="5"/>
      <c r="P15" s="6">
        <v>75</v>
      </c>
      <c r="Q15" s="62">
        <v>34</v>
      </c>
      <c r="R15" s="84">
        <f>10+(80-34)*0.7</f>
        <v>42.199999999999996</v>
      </c>
      <c r="S15" s="2"/>
      <c r="T15" s="144"/>
      <c r="U15" s="118"/>
      <c r="V15" s="148">
        <f>F15*$V$3</f>
        <v>6</v>
      </c>
      <c r="W15" s="149">
        <f t="shared" si="1"/>
        <v>51.3</v>
      </c>
      <c r="X15" s="148">
        <f t="shared" si="2"/>
        <v>-9.1000000000000014</v>
      </c>
    </row>
    <row r="16" spans="1:24">
      <c r="A16" s="110">
        <v>488</v>
      </c>
      <c r="B16" s="110">
        <v>1000258</v>
      </c>
      <c r="C16" s="137" t="s">
        <v>346</v>
      </c>
      <c r="D16" s="110" t="s">
        <v>559</v>
      </c>
      <c r="E16" s="110" t="s">
        <v>560</v>
      </c>
      <c r="F16" s="110">
        <v>1</v>
      </c>
      <c r="G16" s="35"/>
      <c r="H16" s="35"/>
      <c r="I16" s="4">
        <v>45334</v>
      </c>
      <c r="J16" s="2"/>
      <c r="K16" s="2"/>
      <c r="L16" s="5">
        <v>12.01</v>
      </c>
      <c r="M16" s="102"/>
      <c r="N16" s="40">
        <v>15</v>
      </c>
      <c r="O16" s="40"/>
      <c r="P16" s="6">
        <v>20</v>
      </c>
      <c r="Q16" s="18">
        <v>9</v>
      </c>
      <c r="R16" s="70">
        <f>(P16-Q16)*0.7</f>
        <v>7.6999999999999993</v>
      </c>
      <c r="S16" s="2"/>
      <c r="T16" s="144"/>
      <c r="U16" s="118"/>
      <c r="V16" s="149">
        <f>F16*$V$3</f>
        <v>2</v>
      </c>
      <c r="W16" s="149">
        <f t="shared" si="1"/>
        <v>12.6</v>
      </c>
      <c r="X16" s="148">
        <f t="shared" si="2"/>
        <v>-4.9000000000000004</v>
      </c>
    </row>
    <row r="17" spans="1:24">
      <c r="A17" s="110">
        <v>131</v>
      </c>
      <c r="B17" s="110">
        <v>1000469</v>
      </c>
      <c r="C17" s="137" t="s">
        <v>520</v>
      </c>
      <c r="D17" s="110" t="s">
        <v>555</v>
      </c>
      <c r="E17" s="110" t="s">
        <v>564</v>
      </c>
      <c r="F17" s="118"/>
      <c r="G17" s="35"/>
      <c r="H17" s="35"/>
      <c r="I17" s="130"/>
      <c r="J17" s="2"/>
      <c r="K17" s="2"/>
      <c r="L17" s="5"/>
      <c r="M17" s="102"/>
      <c r="N17" s="40"/>
      <c r="O17" s="40"/>
      <c r="P17" s="6">
        <v>69</v>
      </c>
      <c r="Q17" s="6">
        <v>43</v>
      </c>
      <c r="R17" s="59">
        <f>(P17-Q17)*0.7</f>
        <v>18.2</v>
      </c>
      <c r="S17" s="2"/>
      <c r="T17" s="144" t="s">
        <v>577</v>
      </c>
      <c r="U17" s="151">
        <v>43</v>
      </c>
      <c r="V17" s="152"/>
      <c r="W17" s="149">
        <f t="shared" si="1"/>
        <v>18.2</v>
      </c>
      <c r="X17" s="148">
        <f t="shared" si="2"/>
        <v>0</v>
      </c>
    </row>
    <row r="18" spans="1:24">
      <c r="A18" s="110">
        <v>504</v>
      </c>
      <c r="B18" s="110">
        <v>1000408</v>
      </c>
      <c r="C18" s="137" t="s">
        <v>521</v>
      </c>
      <c r="D18" s="110" t="s">
        <v>555</v>
      </c>
      <c r="E18" s="110" t="s">
        <v>564</v>
      </c>
      <c r="F18" s="118"/>
      <c r="G18" s="35"/>
      <c r="H18" s="35"/>
      <c r="I18" s="35">
        <v>46009</v>
      </c>
      <c r="J18" s="2"/>
      <c r="K18" s="2"/>
      <c r="L18" s="5">
        <v>13.54</v>
      </c>
      <c r="M18" s="102"/>
      <c r="N18" s="40"/>
      <c r="O18" s="40"/>
      <c r="P18" s="6">
        <v>59</v>
      </c>
      <c r="Q18" s="6">
        <v>36.5</v>
      </c>
      <c r="R18" s="59">
        <f>(P18-Q18)*0.7</f>
        <v>15.749999999999998</v>
      </c>
      <c r="S18" s="2"/>
      <c r="T18" s="144"/>
      <c r="U18" s="110">
        <v>36.5</v>
      </c>
      <c r="V18" s="152"/>
      <c r="W18" s="149">
        <f t="shared" si="1"/>
        <v>15.749999999999998</v>
      </c>
      <c r="X18" s="148">
        <f t="shared" si="2"/>
        <v>0</v>
      </c>
    </row>
    <row r="19" spans="1:24">
      <c r="A19" s="110">
        <v>152</v>
      </c>
      <c r="B19" s="110">
        <v>1000130</v>
      </c>
      <c r="C19" s="137" t="s">
        <v>44</v>
      </c>
      <c r="D19" s="110" t="s">
        <v>559</v>
      </c>
      <c r="E19" s="110" t="s">
        <v>560</v>
      </c>
      <c r="F19" s="110">
        <v>1</v>
      </c>
      <c r="G19" s="4">
        <v>43196</v>
      </c>
      <c r="H19" s="4"/>
      <c r="I19" s="4">
        <v>43250</v>
      </c>
      <c r="J19" s="49"/>
      <c r="K19" s="49"/>
      <c r="L19" s="5">
        <v>13.78</v>
      </c>
      <c r="M19" s="102">
        <f>25*24/30+25</f>
        <v>45</v>
      </c>
      <c r="N19" s="5"/>
      <c r="O19" s="5"/>
      <c r="P19" s="6">
        <v>25</v>
      </c>
      <c r="Q19" s="61">
        <v>11</v>
      </c>
      <c r="R19" s="59">
        <f>(P19-Q19)*0.7</f>
        <v>9.7999999999999989</v>
      </c>
      <c r="S19" s="2"/>
      <c r="T19" s="144"/>
      <c r="U19" s="118"/>
      <c r="V19" s="148">
        <f>F19*$V$3</f>
        <v>2</v>
      </c>
      <c r="W19" s="149">
        <f t="shared" si="1"/>
        <v>16.099999999999998</v>
      </c>
      <c r="X19" s="148">
        <f t="shared" si="2"/>
        <v>-6.2999999999999989</v>
      </c>
    </row>
    <row r="20" spans="1:24">
      <c r="A20" s="110">
        <v>434</v>
      </c>
      <c r="B20" s="110">
        <v>1000221</v>
      </c>
      <c r="C20" s="137" t="s">
        <v>141</v>
      </c>
      <c r="D20" s="110" t="s">
        <v>561</v>
      </c>
      <c r="E20" s="110" t="s">
        <v>573</v>
      </c>
      <c r="F20" s="110">
        <v>2</v>
      </c>
      <c r="G20" s="35">
        <v>44459</v>
      </c>
      <c r="H20" s="35"/>
      <c r="I20" s="35">
        <v>44481</v>
      </c>
      <c r="J20" s="134" t="s">
        <v>161</v>
      </c>
      <c r="K20" s="133">
        <v>10</v>
      </c>
      <c r="L20" s="5">
        <v>15.15</v>
      </c>
      <c r="M20" s="102">
        <f>46/30*22</f>
        <v>33.733333333333334</v>
      </c>
      <c r="N20" s="5">
        <v>80</v>
      </c>
      <c r="O20" s="5"/>
      <c r="P20" s="6">
        <v>120</v>
      </c>
      <c r="Q20" s="61">
        <v>46</v>
      </c>
      <c r="R20" s="6">
        <f>10+(120-56)*0.7</f>
        <v>54.8</v>
      </c>
      <c r="S20" s="2"/>
      <c r="T20" s="144" t="s">
        <v>574</v>
      </c>
      <c r="U20" s="151">
        <v>36.5</v>
      </c>
      <c r="V20" s="148">
        <f>F20*$V$3</f>
        <v>4</v>
      </c>
      <c r="W20" s="149">
        <f t="shared" si="1"/>
        <v>58.65</v>
      </c>
      <c r="X20" s="148">
        <f t="shared" si="2"/>
        <v>-3.8500000000000014</v>
      </c>
    </row>
    <row r="21" spans="1:24">
      <c r="A21" s="110">
        <v>434</v>
      </c>
      <c r="B21" s="110">
        <v>1000221</v>
      </c>
      <c r="C21" s="137" t="s">
        <v>137</v>
      </c>
      <c r="D21" s="110" t="s">
        <v>561</v>
      </c>
      <c r="E21" s="110" t="s">
        <v>566</v>
      </c>
      <c r="F21" s="110">
        <v>3</v>
      </c>
      <c r="G21" s="35">
        <v>44474</v>
      </c>
      <c r="H21" s="35"/>
      <c r="I21" s="35">
        <v>44487</v>
      </c>
      <c r="J21" s="134" t="s">
        <v>161</v>
      </c>
      <c r="K21" s="133">
        <v>12.5</v>
      </c>
      <c r="L21" s="5">
        <v>15.15</v>
      </c>
      <c r="M21" s="102">
        <f>71/30*13</f>
        <v>30.766666666666666</v>
      </c>
      <c r="N21" s="5">
        <v>95</v>
      </c>
      <c r="O21" s="5"/>
      <c r="P21" s="6">
        <v>140</v>
      </c>
      <c r="Q21" s="61">
        <v>71</v>
      </c>
      <c r="R21" s="6">
        <f>12.5+(56.5)*0.7</f>
        <v>52.05</v>
      </c>
      <c r="S21" s="2"/>
      <c r="T21" s="144"/>
      <c r="U21" s="110">
        <v>36.5</v>
      </c>
      <c r="V21" s="148">
        <f>F21*$V$3</f>
        <v>6</v>
      </c>
      <c r="W21" s="149">
        <f t="shared" si="1"/>
        <v>72</v>
      </c>
      <c r="X21" s="148">
        <f t="shared" si="2"/>
        <v>-19.950000000000003</v>
      </c>
    </row>
    <row r="22" spans="1:24">
      <c r="A22" s="110">
        <v>456</v>
      </c>
      <c r="B22" s="110">
        <v>1000228</v>
      </c>
      <c r="C22" s="137" t="s">
        <v>146</v>
      </c>
      <c r="D22" s="110" t="s">
        <v>561</v>
      </c>
      <c r="E22" s="110" t="s">
        <v>575</v>
      </c>
      <c r="F22" s="110">
        <v>6</v>
      </c>
      <c r="G22" s="4">
        <v>44586</v>
      </c>
      <c r="H22" s="4"/>
      <c r="I22" s="4">
        <v>44615</v>
      </c>
      <c r="J22" s="134" t="s">
        <v>161</v>
      </c>
      <c r="K22" s="133">
        <v>12.5</v>
      </c>
      <c r="L22" s="5">
        <v>15.46</v>
      </c>
      <c r="M22" s="102">
        <f>27/30*28</f>
        <v>25.2</v>
      </c>
      <c r="N22" s="5">
        <v>110</v>
      </c>
      <c r="O22" s="5"/>
      <c r="P22" s="6">
        <v>154</v>
      </c>
      <c r="Q22" s="61">
        <v>72</v>
      </c>
      <c r="R22" s="6">
        <f>12.5+(154-12.5-62)*0.7</f>
        <v>68.150000000000006</v>
      </c>
      <c r="S22" s="2"/>
      <c r="T22" s="144"/>
      <c r="U22" s="110">
        <v>36.5</v>
      </c>
      <c r="V22" s="148">
        <f>F22*$V$3</f>
        <v>12</v>
      </c>
      <c r="W22" s="149">
        <f t="shared" si="1"/>
        <v>77.599999999999994</v>
      </c>
      <c r="X22" s="148">
        <f t="shared" si="2"/>
        <v>-9.4499999999999886</v>
      </c>
    </row>
    <row r="23" spans="1:24">
      <c r="A23" s="110">
        <v>420</v>
      </c>
      <c r="B23" s="110">
        <v>1000215</v>
      </c>
      <c r="C23" s="137" t="s">
        <v>576</v>
      </c>
      <c r="D23" s="119" t="s">
        <v>559</v>
      </c>
      <c r="E23" s="119" t="s">
        <v>560</v>
      </c>
      <c r="F23" s="119">
        <v>5</v>
      </c>
      <c r="G23" s="4">
        <v>44336</v>
      </c>
      <c r="H23" s="4"/>
      <c r="I23" s="4">
        <v>44370</v>
      </c>
      <c r="J23" s="133" t="s">
        <v>161</v>
      </c>
      <c r="K23" s="133">
        <v>17.5</v>
      </c>
      <c r="L23" s="5">
        <v>35.78</v>
      </c>
      <c r="M23" s="102">
        <f>58/30*33</f>
        <v>63.8</v>
      </c>
      <c r="N23" s="5">
        <v>50</v>
      </c>
      <c r="O23" s="5"/>
      <c r="P23" s="6">
        <v>120</v>
      </c>
      <c r="Q23" s="61">
        <v>15</v>
      </c>
      <c r="R23" s="6">
        <f t="shared" ref="R23:R35" si="3">(P23-Q23)*0.7</f>
        <v>73.5</v>
      </c>
      <c r="S23" s="2"/>
      <c r="T23" s="144"/>
      <c r="U23" s="118"/>
      <c r="V23" s="148">
        <f>F23*$V$3</f>
        <v>10</v>
      </c>
      <c r="W23" s="149">
        <f t="shared" si="1"/>
        <v>82.25</v>
      </c>
      <c r="X23" s="148">
        <f t="shared" si="2"/>
        <v>-8.75</v>
      </c>
    </row>
    <row r="24" spans="1:24">
      <c r="A24" s="110">
        <v>420</v>
      </c>
      <c r="B24" s="110">
        <v>1000215</v>
      </c>
      <c r="C24" s="137" t="s">
        <v>534</v>
      </c>
      <c r="D24" s="110" t="s">
        <v>555</v>
      </c>
      <c r="E24" s="110" t="s">
        <v>564</v>
      </c>
      <c r="F24" s="118"/>
      <c r="G24" s="35"/>
      <c r="H24" s="35"/>
      <c r="I24" s="35">
        <v>46054</v>
      </c>
      <c r="J24" s="2"/>
      <c r="K24" s="2"/>
      <c r="L24" s="5">
        <v>13.73</v>
      </c>
      <c r="M24" s="102"/>
      <c r="N24" s="40"/>
      <c r="O24" s="40"/>
      <c r="P24" s="6">
        <v>59</v>
      </c>
      <c r="Q24" s="6">
        <v>36.5</v>
      </c>
      <c r="R24" s="59">
        <f t="shared" si="3"/>
        <v>15.749999999999998</v>
      </c>
      <c r="S24" s="2"/>
      <c r="T24" s="144"/>
      <c r="U24" s="110">
        <v>36.5</v>
      </c>
      <c r="V24" s="152"/>
      <c r="W24" s="149">
        <f t="shared" si="1"/>
        <v>15.749999999999998</v>
      </c>
      <c r="X24" s="148">
        <f t="shared" si="2"/>
        <v>0</v>
      </c>
    </row>
    <row r="25" spans="1:24">
      <c r="A25" s="110">
        <v>521</v>
      </c>
      <c r="B25" s="110">
        <v>1000483</v>
      </c>
      <c r="C25" s="137" t="s">
        <v>402</v>
      </c>
      <c r="D25" s="110" t="s">
        <v>561</v>
      </c>
      <c r="E25" s="110" t="s">
        <v>566</v>
      </c>
      <c r="F25" s="110">
        <v>2</v>
      </c>
      <c r="G25" s="35"/>
      <c r="H25" s="35">
        <v>45637</v>
      </c>
      <c r="I25" s="35">
        <v>45698</v>
      </c>
      <c r="J25" s="2"/>
      <c r="K25" s="2"/>
      <c r="L25" s="5">
        <v>13.98</v>
      </c>
      <c r="M25" s="102">
        <f>45/30*59</f>
        <v>88.5</v>
      </c>
      <c r="N25" s="40">
        <v>30</v>
      </c>
      <c r="O25" s="40"/>
      <c r="P25" s="6">
        <v>120</v>
      </c>
      <c r="Q25" s="6">
        <v>45</v>
      </c>
      <c r="R25" s="70">
        <f t="shared" si="3"/>
        <v>52.5</v>
      </c>
      <c r="S25" s="2"/>
      <c r="T25" s="144"/>
      <c r="U25" s="110">
        <v>36.5</v>
      </c>
      <c r="V25" s="148">
        <f>F25*$V$3</f>
        <v>4</v>
      </c>
      <c r="W25" s="149">
        <f t="shared" si="1"/>
        <v>55.65</v>
      </c>
      <c r="X25" s="148">
        <f t="shared" si="2"/>
        <v>-3.1499999999999986</v>
      </c>
    </row>
    <row r="26" spans="1:24">
      <c r="A26" s="110"/>
      <c r="B26" s="110"/>
      <c r="C26" s="137" t="s">
        <v>398</v>
      </c>
      <c r="D26" s="110" t="s">
        <v>555</v>
      </c>
      <c r="E26" s="110" t="s">
        <v>557</v>
      </c>
      <c r="F26" s="118"/>
      <c r="G26" s="35"/>
      <c r="H26" s="35">
        <v>45516</v>
      </c>
      <c r="I26" s="35">
        <v>45583</v>
      </c>
      <c r="J26" s="2"/>
      <c r="K26" s="2"/>
      <c r="L26" s="5"/>
      <c r="M26" s="102">
        <f>56.5/30*66*0.5</f>
        <v>62.15</v>
      </c>
      <c r="N26" s="40">
        <v>75</v>
      </c>
      <c r="O26" s="40"/>
      <c r="P26" s="12">
        <v>49</v>
      </c>
      <c r="Q26" s="12">
        <v>25</v>
      </c>
      <c r="R26" s="94">
        <f t="shared" si="3"/>
        <v>16.799999999999997</v>
      </c>
      <c r="S26" s="2"/>
      <c r="T26" s="144"/>
      <c r="U26" s="110">
        <v>27</v>
      </c>
      <c r="V26" s="150"/>
      <c r="W26" s="149">
        <f t="shared" si="1"/>
        <v>15.399999999999999</v>
      </c>
      <c r="X26" s="148">
        <f t="shared" si="2"/>
        <v>1.3999999999999986</v>
      </c>
    </row>
    <row r="27" spans="1:24">
      <c r="A27" s="110"/>
      <c r="B27" s="110"/>
      <c r="C27" s="137" t="s">
        <v>398</v>
      </c>
      <c r="D27" s="110" t="s">
        <v>559</v>
      </c>
      <c r="E27" s="110" t="s">
        <v>560</v>
      </c>
      <c r="F27" s="110">
        <v>4</v>
      </c>
      <c r="G27" s="35"/>
      <c r="H27" s="35"/>
      <c r="I27" s="35">
        <v>45584</v>
      </c>
      <c r="J27" s="2"/>
      <c r="K27" s="2"/>
      <c r="L27" s="5"/>
      <c r="M27" s="102"/>
      <c r="N27" s="40"/>
      <c r="O27" s="40"/>
      <c r="P27" s="12">
        <v>81</v>
      </c>
      <c r="Q27" s="12">
        <v>22.5</v>
      </c>
      <c r="R27" s="156">
        <f t="shared" si="3"/>
        <v>40.949999999999996</v>
      </c>
      <c r="S27" s="2"/>
      <c r="T27" s="144"/>
      <c r="U27" s="118"/>
      <c r="V27" s="148">
        <f>F27*$V$3</f>
        <v>8</v>
      </c>
      <c r="W27" s="149">
        <f t="shared" si="1"/>
        <v>51.099999999999994</v>
      </c>
      <c r="X27" s="148">
        <f t="shared" si="2"/>
        <v>-10.149999999999999</v>
      </c>
    </row>
    <row r="28" spans="1:24">
      <c r="A28" s="110"/>
      <c r="B28" s="110"/>
      <c r="C28" s="137" t="s">
        <v>397</v>
      </c>
      <c r="D28" s="110" t="s">
        <v>559</v>
      </c>
      <c r="E28" s="110" t="s">
        <v>560</v>
      </c>
      <c r="F28" s="110">
        <v>4</v>
      </c>
      <c r="G28" s="35"/>
      <c r="H28" s="35"/>
      <c r="I28" s="35">
        <v>45575</v>
      </c>
      <c r="J28" s="2"/>
      <c r="K28" s="2"/>
      <c r="L28" s="5"/>
      <c r="M28" s="102"/>
      <c r="N28" s="40"/>
      <c r="O28" s="40"/>
      <c r="P28" s="12">
        <v>105</v>
      </c>
      <c r="Q28" s="12">
        <v>42.5</v>
      </c>
      <c r="R28" s="94">
        <f t="shared" si="3"/>
        <v>43.75</v>
      </c>
      <c r="S28" s="2"/>
      <c r="T28" s="144"/>
      <c r="U28" s="118"/>
      <c r="V28" s="149">
        <f>F28*$V$3</f>
        <v>8</v>
      </c>
      <c r="W28" s="149">
        <f t="shared" si="1"/>
        <v>67.899999999999991</v>
      </c>
      <c r="X28" s="148">
        <f t="shared" si="2"/>
        <v>-24.149999999999991</v>
      </c>
    </row>
    <row r="29" spans="1:24">
      <c r="A29" s="110"/>
      <c r="B29" s="110"/>
      <c r="C29" s="137" t="s">
        <v>397</v>
      </c>
      <c r="D29" s="110" t="s">
        <v>555</v>
      </c>
      <c r="E29" s="110" t="s">
        <v>579</v>
      </c>
      <c r="F29" s="118"/>
      <c r="G29" s="35"/>
      <c r="H29" s="35">
        <v>45510</v>
      </c>
      <c r="I29" s="35">
        <v>45574</v>
      </c>
      <c r="J29" s="2"/>
      <c r="K29" s="2"/>
      <c r="L29" s="5">
        <v>31.89</v>
      </c>
      <c r="M29" s="102">
        <f>79/30*63*0.5</f>
        <v>82.95</v>
      </c>
      <c r="N29" s="40">
        <v>60</v>
      </c>
      <c r="O29" s="40"/>
      <c r="P29" s="12">
        <v>69</v>
      </c>
      <c r="Q29" s="12">
        <v>36.5</v>
      </c>
      <c r="R29" s="94">
        <f t="shared" si="3"/>
        <v>22.75</v>
      </c>
      <c r="S29" s="2"/>
      <c r="T29" s="144"/>
      <c r="U29" s="110">
        <v>36.5</v>
      </c>
      <c r="V29" s="152"/>
      <c r="W29" s="149">
        <f t="shared" si="1"/>
        <v>22.75</v>
      </c>
      <c r="X29" s="148">
        <f t="shared" si="2"/>
        <v>0</v>
      </c>
    </row>
    <row r="30" spans="1:24">
      <c r="A30" s="110"/>
      <c r="B30" s="110"/>
      <c r="C30" s="137" t="s">
        <v>45</v>
      </c>
      <c r="D30" s="110" t="s">
        <v>561</v>
      </c>
      <c r="E30" s="110" t="s">
        <v>570</v>
      </c>
      <c r="F30" s="110">
        <v>6</v>
      </c>
      <c r="G30" s="4"/>
      <c r="H30" s="4"/>
      <c r="I30" s="4">
        <v>43286</v>
      </c>
      <c r="J30" s="49"/>
      <c r="K30" s="49"/>
      <c r="L30" s="5">
        <v>11.56</v>
      </c>
      <c r="M30" s="102"/>
      <c r="N30" s="5"/>
      <c r="O30" s="5"/>
      <c r="P30" s="6">
        <v>150</v>
      </c>
      <c r="Q30" s="61">
        <v>76</v>
      </c>
      <c r="R30" s="6">
        <f t="shared" si="3"/>
        <v>51.8</v>
      </c>
      <c r="S30" s="128"/>
      <c r="T30" s="144" t="s">
        <v>572</v>
      </c>
      <c r="U30" s="110">
        <v>27</v>
      </c>
      <c r="V30" s="158">
        <v>8</v>
      </c>
      <c r="W30" s="149">
        <f t="shared" si="1"/>
        <v>80.5</v>
      </c>
      <c r="X30" s="148">
        <f t="shared" si="2"/>
        <v>-28.700000000000003</v>
      </c>
    </row>
    <row r="31" spans="1:24">
      <c r="A31" s="110"/>
      <c r="B31" s="110"/>
      <c r="C31" s="137" t="s">
        <v>337</v>
      </c>
      <c r="D31" s="110" t="s">
        <v>561</v>
      </c>
      <c r="E31" s="110" t="s">
        <v>566</v>
      </c>
      <c r="F31" s="110">
        <v>3</v>
      </c>
      <c r="G31" s="35">
        <v>45342</v>
      </c>
      <c r="H31" s="35">
        <v>44977</v>
      </c>
      <c r="I31" s="4">
        <v>45342</v>
      </c>
      <c r="J31" s="2"/>
      <c r="K31" s="2"/>
      <c r="L31" s="5">
        <v>13.78</v>
      </c>
      <c r="M31" s="102"/>
      <c r="N31" s="40">
        <f>45+50</f>
        <v>95</v>
      </c>
      <c r="O31" s="40"/>
      <c r="P31" s="6">
        <v>119</v>
      </c>
      <c r="Q31" s="6">
        <f>38+7+9</f>
        <v>54</v>
      </c>
      <c r="R31" s="59">
        <f t="shared" si="3"/>
        <v>45.5</v>
      </c>
      <c r="S31" s="2"/>
      <c r="T31" s="144"/>
      <c r="U31" s="110">
        <v>36.5</v>
      </c>
      <c r="V31" s="148">
        <f>F31*$V$3</f>
        <v>6</v>
      </c>
      <c r="W31" s="149">
        <f t="shared" si="1"/>
        <v>53.55</v>
      </c>
      <c r="X31" s="148">
        <f t="shared" si="2"/>
        <v>-8.0499999999999972</v>
      </c>
    </row>
    <row r="32" spans="1:24">
      <c r="A32" s="110"/>
      <c r="B32" s="110"/>
      <c r="C32" s="137" t="s">
        <v>338</v>
      </c>
      <c r="D32" s="110" t="s">
        <v>561</v>
      </c>
      <c r="E32" s="110" t="s">
        <v>570</v>
      </c>
      <c r="F32" s="110">
        <v>2</v>
      </c>
      <c r="G32" s="35">
        <v>45271</v>
      </c>
      <c r="H32" s="35"/>
      <c r="I32" s="4">
        <v>45301</v>
      </c>
      <c r="J32" s="2"/>
      <c r="K32" s="2"/>
      <c r="L32" s="5">
        <v>14.26</v>
      </c>
      <c r="M32" s="102">
        <f>25/30*29</f>
        <v>24.166666666666668</v>
      </c>
      <c r="N32" s="40">
        <f>30+50</f>
        <v>80</v>
      </c>
      <c r="O32" s="40"/>
      <c r="P32" s="12">
        <v>81</v>
      </c>
      <c r="Q32" s="6">
        <v>29</v>
      </c>
      <c r="R32" s="59">
        <f t="shared" si="3"/>
        <v>36.4</v>
      </c>
      <c r="S32" s="2" t="s">
        <v>339</v>
      </c>
      <c r="T32" s="144" t="s">
        <v>572</v>
      </c>
      <c r="U32" s="110">
        <v>27</v>
      </c>
      <c r="V32" s="153">
        <v>2</v>
      </c>
      <c r="W32" s="149">
        <f t="shared" si="1"/>
        <v>36.4</v>
      </c>
      <c r="X32" s="148">
        <f t="shared" si="2"/>
        <v>0</v>
      </c>
    </row>
    <row r="33" spans="1:24">
      <c r="A33" s="110"/>
      <c r="B33" s="110"/>
      <c r="C33" s="137" t="s">
        <v>370</v>
      </c>
      <c r="D33" s="110" t="s">
        <v>559</v>
      </c>
      <c r="E33" s="110" t="s">
        <v>560</v>
      </c>
      <c r="F33" s="110">
        <v>2</v>
      </c>
      <c r="G33" s="35"/>
      <c r="H33" s="35">
        <v>45444</v>
      </c>
      <c r="I33" s="4">
        <v>41791</v>
      </c>
      <c r="J33" s="2"/>
      <c r="K33" s="2"/>
      <c r="L33" s="5">
        <v>12.98</v>
      </c>
      <c r="M33" s="102"/>
      <c r="N33" s="40">
        <v>30</v>
      </c>
      <c r="O33" s="40"/>
      <c r="P33" s="6">
        <v>65</v>
      </c>
      <c r="Q33" s="6">
        <v>18</v>
      </c>
      <c r="R33" s="59">
        <f t="shared" si="3"/>
        <v>32.9</v>
      </c>
      <c r="S33" s="2"/>
      <c r="T33" s="144"/>
      <c r="U33" s="118"/>
      <c r="V33" s="149">
        <f>F33*$V$3</f>
        <v>4</v>
      </c>
      <c r="W33" s="149">
        <f t="shared" si="1"/>
        <v>42.699999999999996</v>
      </c>
      <c r="X33" s="149">
        <f t="shared" si="2"/>
        <v>-9.7999999999999972</v>
      </c>
    </row>
    <row r="34" spans="1:24">
      <c r="A34" s="110"/>
      <c r="B34" s="110"/>
      <c r="C34" s="137" t="s">
        <v>365</v>
      </c>
      <c r="D34" s="110" t="s">
        <v>555</v>
      </c>
      <c r="E34" s="110" t="s">
        <v>564</v>
      </c>
      <c r="F34" s="118"/>
      <c r="G34" s="35"/>
      <c r="H34" s="35">
        <v>45450</v>
      </c>
      <c r="I34" s="4">
        <v>45456</v>
      </c>
      <c r="J34" s="2"/>
      <c r="K34" s="2"/>
      <c r="L34" s="5"/>
      <c r="M34" s="102">
        <f>47/30*5</f>
        <v>7.833333333333333</v>
      </c>
      <c r="N34" s="40"/>
      <c r="O34" s="40"/>
      <c r="P34" s="6">
        <v>69</v>
      </c>
      <c r="Q34" s="6">
        <v>47</v>
      </c>
      <c r="R34" s="59">
        <f t="shared" si="3"/>
        <v>15.399999999999999</v>
      </c>
      <c r="S34" s="2"/>
      <c r="T34" s="144" t="s">
        <v>577</v>
      </c>
      <c r="U34" s="151">
        <v>43</v>
      </c>
      <c r="V34" s="150"/>
      <c r="W34" s="149">
        <f t="shared" si="1"/>
        <v>18.2</v>
      </c>
      <c r="X34" s="149">
        <f t="shared" si="2"/>
        <v>-2.8000000000000007</v>
      </c>
    </row>
    <row r="35" spans="1:24">
      <c r="A35" s="110"/>
      <c r="B35" s="110"/>
      <c r="C35" s="137" t="s">
        <v>80</v>
      </c>
      <c r="D35" s="110" t="s">
        <v>561</v>
      </c>
      <c r="E35" s="110" t="s">
        <v>573</v>
      </c>
      <c r="F35" s="110">
        <v>1</v>
      </c>
      <c r="G35" s="35">
        <v>43873</v>
      </c>
      <c r="H35" s="35"/>
      <c r="I35" s="35">
        <v>43910</v>
      </c>
      <c r="J35" s="49"/>
      <c r="K35" s="49"/>
      <c r="L35" s="5">
        <v>21.84</v>
      </c>
      <c r="M35" s="102">
        <f>56/30*38</f>
        <v>70.933333333333337</v>
      </c>
      <c r="N35" s="5"/>
      <c r="O35" s="5"/>
      <c r="P35" s="6">
        <v>80</v>
      </c>
      <c r="Q35" s="61">
        <v>47</v>
      </c>
      <c r="R35" s="6">
        <f t="shared" si="3"/>
        <v>23.099999999999998</v>
      </c>
      <c r="S35" s="2"/>
      <c r="T35" s="144" t="s">
        <v>574</v>
      </c>
      <c r="U35" s="151">
        <v>36.5</v>
      </c>
      <c r="V35" s="149">
        <f t="shared" ref="V35:V44" si="4">F35*$V$3</f>
        <v>2</v>
      </c>
      <c r="W35" s="149">
        <f t="shared" si="1"/>
        <v>29.049999999999997</v>
      </c>
      <c r="X35" s="149">
        <f t="shared" si="2"/>
        <v>-5.9499999999999993</v>
      </c>
    </row>
    <row r="36" spans="1:24">
      <c r="A36" s="110"/>
      <c r="B36" s="110"/>
      <c r="C36" s="137" t="s">
        <v>112</v>
      </c>
      <c r="D36" s="110" t="s">
        <v>559</v>
      </c>
      <c r="E36" s="110" t="s">
        <v>560</v>
      </c>
      <c r="F36" s="110">
        <v>5</v>
      </c>
      <c r="G36" s="4">
        <v>44270</v>
      </c>
      <c r="H36" s="4"/>
      <c r="I36" s="4">
        <v>44286</v>
      </c>
      <c r="J36" s="133" t="s">
        <v>160</v>
      </c>
      <c r="K36" s="133">
        <v>17.5</v>
      </c>
      <c r="L36" s="5">
        <v>31.96</v>
      </c>
      <c r="M36" s="102">
        <f>55/30*16</f>
        <v>29.333333333333332</v>
      </c>
      <c r="N36" s="5">
        <v>75</v>
      </c>
      <c r="O36" s="5"/>
      <c r="P36" s="6">
        <v>100</v>
      </c>
      <c r="Q36" s="61">
        <v>55</v>
      </c>
      <c r="R36" s="6">
        <f>(17.5+27.5*0.7)</f>
        <v>36.75</v>
      </c>
      <c r="S36" s="2"/>
      <c r="T36" s="144"/>
      <c r="U36" s="118"/>
      <c r="V36" s="149">
        <f t="shared" si="4"/>
        <v>10</v>
      </c>
      <c r="W36" s="149">
        <f t="shared" si="1"/>
        <v>68.25</v>
      </c>
      <c r="X36" s="149">
        <f t="shared" si="2"/>
        <v>-31.5</v>
      </c>
    </row>
    <row r="37" spans="1:24">
      <c r="A37" s="110"/>
      <c r="B37" s="110"/>
      <c r="C37" s="137" t="s">
        <v>537</v>
      </c>
      <c r="D37" s="110" t="s">
        <v>559</v>
      </c>
      <c r="E37" s="110" t="s">
        <v>560</v>
      </c>
      <c r="F37" s="110">
        <v>3</v>
      </c>
      <c r="G37" s="35"/>
      <c r="H37" s="35"/>
      <c r="I37" s="35">
        <v>46033</v>
      </c>
      <c r="J37" s="2"/>
      <c r="K37" s="2"/>
      <c r="L37" s="5">
        <v>25.29</v>
      </c>
      <c r="M37" s="102"/>
      <c r="N37" s="40"/>
      <c r="O37" s="40"/>
      <c r="P37" s="6">
        <v>80</v>
      </c>
      <c r="Q37" s="6">
        <f>3.5*3</f>
        <v>10.5</v>
      </c>
      <c r="R37" s="59">
        <f>(P37-Q37)*0.7</f>
        <v>48.65</v>
      </c>
      <c r="S37" s="2"/>
      <c r="T37" s="144"/>
      <c r="U37" s="118"/>
      <c r="V37" s="149">
        <f t="shared" si="4"/>
        <v>6</v>
      </c>
      <c r="W37" s="149">
        <f t="shared" ref="W37:W68" si="5">((P37-(V37+U37+K37))*$W$3)+K37</f>
        <v>51.8</v>
      </c>
      <c r="X37" s="149">
        <f t="shared" ref="X37:X68" si="6">R37-W37</f>
        <v>-3.1499999999999986</v>
      </c>
    </row>
    <row r="38" spans="1:24">
      <c r="A38" s="110"/>
      <c r="B38" s="110"/>
      <c r="C38" s="137" t="s">
        <v>327</v>
      </c>
      <c r="D38" s="110" t="s">
        <v>559</v>
      </c>
      <c r="E38" s="110" t="s">
        <v>560</v>
      </c>
      <c r="F38" s="110">
        <v>1</v>
      </c>
      <c r="G38" s="35"/>
      <c r="H38" s="35"/>
      <c r="I38" s="4">
        <v>45127</v>
      </c>
      <c r="J38" s="2"/>
      <c r="K38" s="2"/>
      <c r="L38" s="5">
        <v>11.48</v>
      </c>
      <c r="M38" s="102"/>
      <c r="N38" s="40"/>
      <c r="O38" s="40"/>
      <c r="P38" s="6">
        <v>25</v>
      </c>
      <c r="Q38" s="6">
        <v>9</v>
      </c>
      <c r="R38" s="59">
        <f>(P38-Q38)*0.7</f>
        <v>11.2</v>
      </c>
      <c r="S38" s="2"/>
      <c r="T38" s="144"/>
      <c r="U38" s="118"/>
      <c r="V38" s="149">
        <f t="shared" si="4"/>
        <v>2</v>
      </c>
      <c r="W38" s="149">
        <f t="shared" si="5"/>
        <v>16.099999999999998</v>
      </c>
      <c r="X38" s="149">
        <f t="shared" si="6"/>
        <v>-4.8999999999999986</v>
      </c>
    </row>
    <row r="39" spans="1:24">
      <c r="A39" s="110"/>
      <c r="B39" s="110"/>
      <c r="C39" s="137" t="s">
        <v>87</v>
      </c>
      <c r="D39" s="110" t="s">
        <v>559</v>
      </c>
      <c r="E39" s="110" t="s">
        <v>560</v>
      </c>
      <c r="F39" s="110">
        <v>2</v>
      </c>
      <c r="G39" s="35">
        <v>43878</v>
      </c>
      <c r="H39" s="35"/>
      <c r="I39" s="35">
        <v>43892</v>
      </c>
      <c r="J39" s="49"/>
      <c r="K39" s="49"/>
      <c r="L39" s="5">
        <v>12.19</v>
      </c>
      <c r="M39" s="102">
        <v>5.5</v>
      </c>
      <c r="N39" s="5"/>
      <c r="O39" s="5"/>
      <c r="P39" s="6">
        <v>25</v>
      </c>
      <c r="Q39" s="61">
        <v>11</v>
      </c>
      <c r="R39" s="6">
        <f>(P39-Q39)*0.7</f>
        <v>9.7999999999999989</v>
      </c>
      <c r="S39" s="2"/>
      <c r="T39" s="144"/>
      <c r="U39" s="118"/>
      <c r="V39" s="149">
        <f t="shared" si="4"/>
        <v>4</v>
      </c>
      <c r="W39" s="149">
        <f t="shared" si="5"/>
        <v>14.7</v>
      </c>
      <c r="X39" s="149">
        <f t="shared" si="6"/>
        <v>-4.9000000000000004</v>
      </c>
    </row>
    <row r="40" spans="1:24">
      <c r="A40" s="110"/>
      <c r="B40" s="110"/>
      <c r="C40" s="137" t="s">
        <v>185</v>
      </c>
      <c r="D40" s="110" t="s">
        <v>561</v>
      </c>
      <c r="E40" s="110" t="s">
        <v>566</v>
      </c>
      <c r="F40" s="110">
        <v>4</v>
      </c>
      <c r="G40" s="4">
        <v>44830</v>
      </c>
      <c r="H40" s="4">
        <v>44852</v>
      </c>
      <c r="I40" s="4">
        <v>44858</v>
      </c>
      <c r="J40" s="134" t="s">
        <v>161</v>
      </c>
      <c r="K40" s="133">
        <v>15</v>
      </c>
      <c r="L40" s="5">
        <v>23.38</v>
      </c>
      <c r="M40" s="102">
        <f>54.5/30*6</f>
        <v>10.9</v>
      </c>
      <c r="N40" s="5">
        <v>95</v>
      </c>
      <c r="O40" s="5"/>
      <c r="P40" s="6">
        <v>160</v>
      </c>
      <c r="Q40" s="61">
        <v>64.5</v>
      </c>
      <c r="R40" s="6">
        <f>15+(145-64.5)*0.7</f>
        <v>71.349999999999994</v>
      </c>
      <c r="S40" s="2"/>
      <c r="T40" s="144"/>
      <c r="U40" s="110">
        <v>36.5</v>
      </c>
      <c r="V40" s="149">
        <f t="shared" si="4"/>
        <v>8</v>
      </c>
      <c r="W40" s="149">
        <f t="shared" si="5"/>
        <v>85.35</v>
      </c>
      <c r="X40" s="149">
        <f t="shared" si="6"/>
        <v>-14</v>
      </c>
    </row>
    <row r="41" spans="1:24">
      <c r="A41" s="110"/>
      <c r="B41" s="110"/>
      <c r="C41" s="137" t="s">
        <v>218</v>
      </c>
      <c r="D41" s="110" t="s">
        <v>559</v>
      </c>
      <c r="E41" s="110" t="s">
        <v>560</v>
      </c>
      <c r="F41" s="110">
        <v>2</v>
      </c>
      <c r="G41" s="35"/>
      <c r="H41" s="35">
        <v>45456</v>
      </c>
      <c r="I41" s="4">
        <v>45456</v>
      </c>
      <c r="J41" s="2"/>
      <c r="K41" s="2"/>
      <c r="L41" s="5">
        <v>10</v>
      </c>
      <c r="M41" s="102"/>
      <c r="N41" s="40">
        <v>45</v>
      </c>
      <c r="O41" s="40"/>
      <c r="P41" s="6">
        <v>60</v>
      </c>
      <c r="Q41" s="6">
        <v>7</v>
      </c>
      <c r="R41" s="59">
        <f>(P41-Q41)*0.7</f>
        <v>37.099999999999994</v>
      </c>
      <c r="S41" s="2"/>
      <c r="T41" s="144"/>
      <c r="U41" s="118"/>
      <c r="V41" s="149">
        <f t="shared" si="4"/>
        <v>4</v>
      </c>
      <c r="W41" s="149">
        <f t="shared" si="5"/>
        <v>39.199999999999996</v>
      </c>
      <c r="X41" s="149">
        <f t="shared" si="6"/>
        <v>-2.1000000000000014</v>
      </c>
    </row>
    <row r="42" spans="1:24">
      <c r="A42" s="110"/>
      <c r="B42" s="110"/>
      <c r="C42" s="137" t="s">
        <v>58</v>
      </c>
      <c r="D42" s="110" t="s">
        <v>559</v>
      </c>
      <c r="E42" s="110" t="s">
        <v>560</v>
      </c>
      <c r="F42" s="110">
        <v>2</v>
      </c>
      <c r="G42" s="4">
        <v>43534</v>
      </c>
      <c r="H42" s="4"/>
      <c r="I42" s="4">
        <v>43542</v>
      </c>
      <c r="J42" s="49"/>
      <c r="K42" s="49"/>
      <c r="L42" s="5">
        <f>10.86*2</f>
        <v>21.72</v>
      </c>
      <c r="M42" s="102">
        <v>0</v>
      </c>
      <c r="N42" s="5"/>
      <c r="O42" s="5"/>
      <c r="P42" s="6">
        <v>50</v>
      </c>
      <c r="Q42" s="61">
        <v>7</v>
      </c>
      <c r="R42" s="6">
        <f>(P42-Q42)*0.7</f>
        <v>30.099999999999998</v>
      </c>
      <c r="S42" s="2"/>
      <c r="T42" s="144"/>
      <c r="U42" s="118"/>
      <c r="V42" s="149">
        <f t="shared" si="4"/>
        <v>4</v>
      </c>
      <c r="W42" s="149">
        <f t="shared" si="5"/>
        <v>32.199999999999996</v>
      </c>
      <c r="X42" s="149">
        <f t="shared" si="6"/>
        <v>-2.0999999999999979</v>
      </c>
    </row>
    <row r="43" spans="1:24">
      <c r="A43" s="110"/>
      <c r="B43" s="110"/>
      <c r="C43" s="138" t="s">
        <v>213</v>
      </c>
      <c r="D43" s="110" t="s">
        <v>561</v>
      </c>
      <c r="E43" s="110" t="s">
        <v>566</v>
      </c>
      <c r="F43" s="110">
        <v>3</v>
      </c>
      <c r="G43" s="15">
        <v>44894</v>
      </c>
      <c r="H43" s="15">
        <v>44908</v>
      </c>
      <c r="I43" s="36">
        <v>44944</v>
      </c>
      <c r="J43" s="134" t="s">
        <v>161</v>
      </c>
      <c r="K43" s="162">
        <v>15</v>
      </c>
      <c r="L43" s="37">
        <v>31.72</v>
      </c>
      <c r="M43" s="102">
        <f>50/30*35</f>
        <v>58.333333333333336</v>
      </c>
      <c r="N43" s="5">
        <f>60+50</f>
        <v>110</v>
      </c>
      <c r="O43" s="5"/>
      <c r="P43" s="17">
        <v>119</v>
      </c>
      <c r="Q43" s="63">
        <v>54</v>
      </c>
      <c r="R43" s="161">
        <f>15+(P43-Q43-15)*0.7</f>
        <v>50</v>
      </c>
      <c r="S43" s="2"/>
      <c r="T43" s="144"/>
      <c r="U43" s="110">
        <v>36.5</v>
      </c>
      <c r="V43" s="149">
        <f t="shared" si="4"/>
        <v>6</v>
      </c>
      <c r="W43" s="149">
        <f t="shared" si="5"/>
        <v>58.05</v>
      </c>
      <c r="X43" s="149">
        <f t="shared" si="6"/>
        <v>-8.0499999999999972</v>
      </c>
    </row>
    <row r="44" spans="1:24">
      <c r="A44" s="110"/>
      <c r="B44" s="110"/>
      <c r="C44" s="137" t="s">
        <v>82</v>
      </c>
      <c r="D44" s="110" t="s">
        <v>559</v>
      </c>
      <c r="E44" s="110" t="s">
        <v>560</v>
      </c>
      <c r="F44" s="110">
        <v>1</v>
      </c>
      <c r="G44" s="35">
        <v>40235</v>
      </c>
      <c r="H44" s="35"/>
      <c r="I44" s="35">
        <v>43901</v>
      </c>
      <c r="J44" s="49"/>
      <c r="K44" s="49"/>
      <c r="L44" s="5">
        <v>9.6</v>
      </c>
      <c r="M44" s="102">
        <f>11/2</f>
        <v>5.5</v>
      </c>
      <c r="N44" s="5"/>
      <c r="O44" s="5"/>
      <c r="P44" s="6">
        <v>25</v>
      </c>
      <c r="Q44" s="61">
        <v>11</v>
      </c>
      <c r="R44" s="6">
        <f>(P44-Q44)*0.7</f>
        <v>9.7999999999999989</v>
      </c>
      <c r="S44" s="2"/>
      <c r="T44" s="144"/>
      <c r="U44" s="118"/>
      <c r="V44" s="149">
        <f t="shared" si="4"/>
        <v>2</v>
      </c>
      <c r="W44" s="149">
        <f t="shared" si="5"/>
        <v>16.099999999999998</v>
      </c>
      <c r="X44" s="149">
        <f t="shared" si="6"/>
        <v>-6.2999999999999989</v>
      </c>
    </row>
    <row r="45" spans="1:24">
      <c r="A45" s="110"/>
      <c r="B45" s="110"/>
      <c r="C45" s="137" t="s">
        <v>423</v>
      </c>
      <c r="D45" s="110" t="s">
        <v>555</v>
      </c>
      <c r="E45" s="110" t="s">
        <v>564</v>
      </c>
      <c r="F45" s="118"/>
      <c r="G45" s="35"/>
      <c r="H45" s="35"/>
      <c r="I45" s="35">
        <v>45714</v>
      </c>
      <c r="J45" s="2"/>
      <c r="K45" s="2"/>
      <c r="L45" s="5"/>
      <c r="M45" s="102"/>
      <c r="N45" s="40"/>
      <c r="O45" s="40"/>
      <c r="P45" s="6">
        <v>50</v>
      </c>
      <c r="Q45" s="6">
        <v>41</v>
      </c>
      <c r="R45" s="59">
        <f>(P45-Q45)*0.7</f>
        <v>6.3</v>
      </c>
      <c r="S45" s="2"/>
      <c r="T45" s="144" t="s">
        <v>577</v>
      </c>
      <c r="U45" s="151">
        <v>43</v>
      </c>
      <c r="V45" s="150"/>
      <c r="W45" s="149">
        <f t="shared" si="5"/>
        <v>4.8999999999999995</v>
      </c>
      <c r="X45" s="149">
        <f t="shared" si="6"/>
        <v>1.4000000000000004</v>
      </c>
    </row>
    <row r="46" spans="1:24">
      <c r="A46" s="110"/>
      <c r="B46" s="110"/>
      <c r="C46" s="137" t="s">
        <v>424</v>
      </c>
      <c r="D46" s="110" t="s">
        <v>559</v>
      </c>
      <c r="E46" s="110" t="s">
        <v>560</v>
      </c>
      <c r="F46" s="110">
        <v>2</v>
      </c>
      <c r="G46" s="35"/>
      <c r="H46" s="35"/>
      <c r="I46" s="35">
        <v>45750</v>
      </c>
      <c r="J46" s="2"/>
      <c r="K46" s="2"/>
      <c r="L46" s="5">
        <v>15.34</v>
      </c>
      <c r="M46" s="102"/>
      <c r="N46" s="40">
        <v>30</v>
      </c>
      <c r="O46" s="40"/>
      <c r="P46" s="12">
        <v>30</v>
      </c>
      <c r="Q46" s="6">
        <v>7</v>
      </c>
      <c r="R46" s="94">
        <f>(P46-Q46)*0.7</f>
        <v>16.099999999999998</v>
      </c>
      <c r="S46" s="2"/>
      <c r="T46" s="144"/>
      <c r="U46" s="118"/>
      <c r="V46" s="149">
        <f t="shared" ref="V46:V51" si="7">F46*$V$3</f>
        <v>4</v>
      </c>
      <c r="W46" s="149">
        <f t="shared" si="5"/>
        <v>18.2</v>
      </c>
      <c r="X46" s="149">
        <f t="shared" si="6"/>
        <v>-2.1000000000000014</v>
      </c>
    </row>
    <row r="47" spans="1:24">
      <c r="A47" s="110"/>
      <c r="B47" s="110"/>
      <c r="C47" s="137" t="s">
        <v>462</v>
      </c>
      <c r="D47" s="110" t="s">
        <v>559</v>
      </c>
      <c r="E47" s="110" t="s">
        <v>560</v>
      </c>
      <c r="F47" s="110">
        <v>2</v>
      </c>
      <c r="G47" s="35"/>
      <c r="H47" s="35"/>
      <c r="I47" s="130"/>
      <c r="J47" s="2"/>
      <c r="K47" s="2"/>
      <c r="L47" s="5"/>
      <c r="M47" s="102"/>
      <c r="N47" s="40"/>
      <c r="O47" s="40"/>
      <c r="P47" s="6">
        <v>40</v>
      </c>
      <c r="Q47" s="6">
        <v>7</v>
      </c>
      <c r="R47" s="59">
        <f>(P47-Q47)*0.7</f>
        <v>23.099999999999998</v>
      </c>
      <c r="S47" s="2"/>
      <c r="T47" s="144"/>
      <c r="U47" s="118"/>
      <c r="V47" s="149">
        <f t="shared" si="7"/>
        <v>4</v>
      </c>
      <c r="W47" s="149">
        <f t="shared" si="5"/>
        <v>25.2</v>
      </c>
      <c r="X47" s="149">
        <f t="shared" si="6"/>
        <v>-2.1000000000000014</v>
      </c>
    </row>
    <row r="48" spans="1:24">
      <c r="A48" s="110"/>
      <c r="B48" s="110"/>
      <c r="C48" s="137" t="s">
        <v>85</v>
      </c>
      <c r="D48" s="110" t="s">
        <v>559</v>
      </c>
      <c r="E48" s="110" t="s">
        <v>560</v>
      </c>
      <c r="F48" s="110">
        <v>1</v>
      </c>
      <c r="G48" s="35">
        <v>43881</v>
      </c>
      <c r="H48" s="35"/>
      <c r="I48" s="35">
        <v>43895</v>
      </c>
      <c r="J48" s="49"/>
      <c r="K48" s="49"/>
      <c r="L48" s="5">
        <v>9.14</v>
      </c>
      <c r="M48" s="102">
        <f>11/30*15</f>
        <v>5.5</v>
      </c>
      <c r="N48" s="5"/>
      <c r="O48" s="5"/>
      <c r="P48" s="6">
        <v>25</v>
      </c>
      <c r="Q48" s="61">
        <v>11</v>
      </c>
      <c r="R48" s="6">
        <f>(P48-Q48)*0.7</f>
        <v>9.7999999999999989</v>
      </c>
      <c r="S48" s="2"/>
      <c r="T48" s="144"/>
      <c r="U48" s="118"/>
      <c r="V48" s="149">
        <f t="shared" si="7"/>
        <v>2</v>
      </c>
      <c r="W48" s="149">
        <f t="shared" si="5"/>
        <v>16.099999999999998</v>
      </c>
      <c r="X48" s="149">
        <f t="shared" si="6"/>
        <v>-6.2999999999999989</v>
      </c>
    </row>
    <row r="49" spans="1:24">
      <c r="A49" s="110"/>
      <c r="B49" s="110"/>
      <c r="C49" s="137" t="s">
        <v>173</v>
      </c>
      <c r="D49" s="110" t="s">
        <v>561</v>
      </c>
      <c r="E49" s="110" t="s">
        <v>566</v>
      </c>
      <c r="F49" s="110">
        <v>3</v>
      </c>
      <c r="G49" s="4">
        <v>44704</v>
      </c>
      <c r="H49" s="4"/>
      <c r="I49" s="4">
        <v>44721</v>
      </c>
      <c r="J49" s="134" t="s">
        <v>161</v>
      </c>
      <c r="K49" s="133">
        <v>12.5</v>
      </c>
      <c r="L49" s="5">
        <v>13.72</v>
      </c>
      <c r="M49" s="102">
        <f>37/30*16</f>
        <v>19.733333333333334</v>
      </c>
      <c r="N49" s="5">
        <f>50+45</f>
        <v>95</v>
      </c>
      <c r="O49" s="5"/>
      <c r="P49" s="6">
        <v>129</v>
      </c>
      <c r="Q49" s="61">
        <v>54.5</v>
      </c>
      <c r="R49" s="56">
        <f>12.5+(116.5-54.5)*0.7</f>
        <v>55.9</v>
      </c>
      <c r="S49" s="2"/>
      <c r="T49" s="144"/>
      <c r="U49" s="110">
        <v>36.5</v>
      </c>
      <c r="V49" s="149">
        <f t="shared" si="7"/>
        <v>6</v>
      </c>
      <c r="W49" s="149">
        <f t="shared" si="5"/>
        <v>64.3</v>
      </c>
      <c r="X49" s="149">
        <f t="shared" si="6"/>
        <v>-8.3999999999999986</v>
      </c>
    </row>
    <row r="50" spans="1:24">
      <c r="A50" s="110"/>
      <c r="B50" s="110"/>
      <c r="C50" s="137" t="s">
        <v>289</v>
      </c>
      <c r="D50" s="110" t="s">
        <v>559</v>
      </c>
      <c r="E50" s="110" t="s">
        <v>560</v>
      </c>
      <c r="F50" s="110">
        <v>3</v>
      </c>
      <c r="G50" s="35">
        <v>45110</v>
      </c>
      <c r="H50" s="35">
        <v>45127</v>
      </c>
      <c r="I50" s="4">
        <v>45110</v>
      </c>
      <c r="J50" s="2"/>
      <c r="K50" s="2"/>
      <c r="L50" s="5">
        <v>13.31</v>
      </c>
      <c r="M50" s="102">
        <f>27/30*17</f>
        <v>15.3</v>
      </c>
      <c r="N50" s="40">
        <v>45</v>
      </c>
      <c r="O50" s="40"/>
      <c r="P50" s="6">
        <v>75</v>
      </c>
      <c r="Q50" s="6">
        <v>27</v>
      </c>
      <c r="R50" s="59">
        <f t="shared" ref="R50:R65" si="8">(P50-Q50)*0.7</f>
        <v>33.599999999999994</v>
      </c>
      <c r="S50" s="2"/>
      <c r="T50" s="144"/>
      <c r="U50" s="118"/>
      <c r="V50" s="149">
        <f t="shared" si="7"/>
        <v>6</v>
      </c>
      <c r="W50" s="149">
        <f t="shared" si="5"/>
        <v>48.3</v>
      </c>
      <c r="X50" s="149">
        <f t="shared" si="6"/>
        <v>-14.700000000000003</v>
      </c>
    </row>
    <row r="51" spans="1:24">
      <c r="A51" s="110"/>
      <c r="B51" s="110"/>
      <c r="C51" s="137" t="s">
        <v>369</v>
      </c>
      <c r="D51" s="110" t="s">
        <v>561</v>
      </c>
      <c r="E51" s="110" t="s">
        <v>566</v>
      </c>
      <c r="F51" s="110">
        <v>2</v>
      </c>
      <c r="G51" s="35"/>
      <c r="H51" s="35">
        <v>45464</v>
      </c>
      <c r="I51" s="4">
        <v>41811</v>
      </c>
      <c r="J51" s="2"/>
      <c r="K51" s="2"/>
      <c r="L51" s="5">
        <v>24.98</v>
      </c>
      <c r="M51" s="102"/>
      <c r="N51" s="40">
        <v>15</v>
      </c>
      <c r="O51" s="40"/>
      <c r="P51" s="6">
        <v>80</v>
      </c>
      <c r="Q51" s="6">
        <v>42.5</v>
      </c>
      <c r="R51" s="59">
        <f t="shared" si="8"/>
        <v>26.25</v>
      </c>
      <c r="S51" s="2"/>
      <c r="T51" s="144"/>
      <c r="U51" s="110">
        <v>36.5</v>
      </c>
      <c r="V51" s="149">
        <f t="shared" si="7"/>
        <v>4</v>
      </c>
      <c r="W51" s="149">
        <f t="shared" si="5"/>
        <v>27.65</v>
      </c>
      <c r="X51" s="149">
        <f t="shared" si="6"/>
        <v>-1.3999999999999986</v>
      </c>
    </row>
    <row r="52" spans="1:24">
      <c r="A52" s="110"/>
      <c r="B52" s="110"/>
      <c r="C52" s="137" t="s">
        <v>583</v>
      </c>
      <c r="D52" s="110" t="s">
        <v>555</v>
      </c>
      <c r="E52" s="110" t="s">
        <v>564</v>
      </c>
      <c r="F52" s="118"/>
      <c r="G52" s="35"/>
      <c r="H52" s="35"/>
      <c r="I52" s="4"/>
      <c r="J52" s="2"/>
      <c r="K52" s="2"/>
      <c r="L52" s="5"/>
      <c r="M52" s="102"/>
      <c r="N52" s="40"/>
      <c r="O52" s="40"/>
      <c r="P52" s="56">
        <v>59</v>
      </c>
      <c r="Q52" s="6">
        <v>36.5</v>
      </c>
      <c r="R52" s="59">
        <f t="shared" si="8"/>
        <v>15.749999999999998</v>
      </c>
      <c r="S52" s="2"/>
      <c r="T52" s="144"/>
      <c r="U52" s="110">
        <v>36.5</v>
      </c>
      <c r="V52" s="150"/>
      <c r="W52" s="149">
        <f t="shared" si="5"/>
        <v>15.749999999999998</v>
      </c>
      <c r="X52" s="149">
        <f t="shared" si="6"/>
        <v>0</v>
      </c>
    </row>
    <row r="53" spans="1:24">
      <c r="A53" s="110"/>
      <c r="B53" s="110"/>
      <c r="C53" s="137" t="s">
        <v>326</v>
      </c>
      <c r="D53" s="110" t="s">
        <v>555</v>
      </c>
      <c r="E53" s="110" t="s">
        <v>564</v>
      </c>
      <c r="F53" s="118"/>
      <c r="G53" s="35"/>
      <c r="H53" s="35">
        <v>45188</v>
      </c>
      <c r="I53" s="4">
        <v>45209</v>
      </c>
      <c r="J53" s="2"/>
      <c r="K53" s="2"/>
      <c r="L53" s="5">
        <v>11.48</v>
      </c>
      <c r="M53" s="102"/>
      <c r="N53" s="40"/>
      <c r="O53" s="40"/>
      <c r="P53" s="6">
        <v>59</v>
      </c>
      <c r="Q53" s="6">
        <v>38</v>
      </c>
      <c r="R53" s="59">
        <f t="shared" si="8"/>
        <v>14.7</v>
      </c>
      <c r="S53" s="2"/>
      <c r="T53" s="144"/>
      <c r="U53" s="110">
        <v>36.5</v>
      </c>
      <c r="V53" s="150"/>
      <c r="W53" s="149">
        <f t="shared" si="5"/>
        <v>15.749999999999998</v>
      </c>
      <c r="X53" s="149">
        <f t="shared" si="6"/>
        <v>-1.0499999999999989</v>
      </c>
    </row>
    <row r="54" spans="1:24">
      <c r="A54" s="110"/>
      <c r="B54" s="110"/>
      <c r="C54" s="137" t="s">
        <v>17</v>
      </c>
      <c r="D54" s="110" t="s">
        <v>555</v>
      </c>
      <c r="E54" s="110" t="s">
        <v>564</v>
      </c>
      <c r="F54" s="118"/>
      <c r="G54" s="4"/>
      <c r="H54" s="4"/>
      <c r="I54" s="4">
        <v>42209</v>
      </c>
      <c r="J54" s="49"/>
      <c r="K54" s="49"/>
      <c r="L54" s="5"/>
      <c r="M54" s="102"/>
      <c r="N54" s="5"/>
      <c r="O54" s="5"/>
      <c r="P54" s="56">
        <v>59</v>
      </c>
      <c r="Q54" s="61">
        <v>36.5</v>
      </c>
      <c r="R54" s="6">
        <f t="shared" si="8"/>
        <v>15.749999999999998</v>
      </c>
      <c r="S54" s="2"/>
      <c r="T54" s="144" t="s">
        <v>584</v>
      </c>
      <c r="U54" s="110">
        <v>36.5</v>
      </c>
      <c r="V54" s="150"/>
      <c r="W54" s="149">
        <f t="shared" si="5"/>
        <v>15.749999999999998</v>
      </c>
      <c r="X54" s="149">
        <f t="shared" si="6"/>
        <v>0</v>
      </c>
    </row>
    <row r="55" spans="1:24">
      <c r="A55" s="110"/>
      <c r="B55" s="110"/>
      <c r="C55" s="137" t="s">
        <v>94</v>
      </c>
      <c r="D55" s="110" t="s">
        <v>559</v>
      </c>
      <c r="E55" s="110" t="s">
        <v>560</v>
      </c>
      <c r="F55" s="110">
        <v>1</v>
      </c>
      <c r="G55" s="35">
        <v>44124</v>
      </c>
      <c r="H55" s="35"/>
      <c r="I55" s="35">
        <v>44124</v>
      </c>
      <c r="J55" s="49"/>
      <c r="K55" s="49"/>
      <c r="L55" s="5">
        <v>7.25</v>
      </c>
      <c r="M55" s="102">
        <v>0</v>
      </c>
      <c r="N55" s="5"/>
      <c r="O55" s="5"/>
      <c r="P55" s="6">
        <v>25</v>
      </c>
      <c r="Q55" s="61">
        <v>11</v>
      </c>
      <c r="R55" s="6">
        <f t="shared" si="8"/>
        <v>9.7999999999999989</v>
      </c>
      <c r="S55" s="2"/>
      <c r="T55" s="144"/>
      <c r="U55" s="118"/>
      <c r="V55" s="149">
        <f>F55*$V$3</f>
        <v>2</v>
      </c>
      <c r="W55" s="149">
        <f t="shared" si="5"/>
        <v>16.099999999999998</v>
      </c>
      <c r="X55" s="149">
        <f t="shared" si="6"/>
        <v>-6.2999999999999989</v>
      </c>
    </row>
    <row r="56" spans="1:24">
      <c r="A56" s="110"/>
      <c r="B56" s="110"/>
      <c r="C56" s="137" t="s">
        <v>392</v>
      </c>
      <c r="D56" s="110" t="s">
        <v>561</v>
      </c>
      <c r="E56" s="110" t="s">
        <v>566</v>
      </c>
      <c r="F56" s="110">
        <v>5</v>
      </c>
      <c r="G56" s="35"/>
      <c r="H56" s="35"/>
      <c r="I56" s="35">
        <v>45694</v>
      </c>
      <c r="J56" s="2"/>
      <c r="K56" s="2"/>
      <c r="L56" s="5">
        <v>31.89</v>
      </c>
      <c r="M56" s="102" t="s">
        <v>414</v>
      </c>
      <c r="N56" s="40">
        <v>75</v>
      </c>
      <c r="O56" s="40"/>
      <c r="P56" s="6">
        <v>145</v>
      </c>
      <c r="Q56" s="6">
        <v>72</v>
      </c>
      <c r="R56" s="59">
        <f t="shared" si="8"/>
        <v>51.099999999999994</v>
      </c>
      <c r="S56" s="2"/>
      <c r="T56" s="144"/>
      <c r="U56" s="110">
        <v>36.5</v>
      </c>
      <c r="V56" s="149">
        <f>F56*$V$3</f>
        <v>10</v>
      </c>
      <c r="W56" s="149">
        <f t="shared" si="5"/>
        <v>68.949999999999989</v>
      </c>
      <c r="X56" s="149">
        <f t="shared" si="6"/>
        <v>-17.849999999999994</v>
      </c>
    </row>
    <row r="57" spans="1:24">
      <c r="A57" s="110"/>
      <c r="B57" s="110"/>
      <c r="C57" s="138" t="s">
        <v>497</v>
      </c>
      <c r="D57" s="121" t="s">
        <v>555</v>
      </c>
      <c r="E57" s="121" t="s">
        <v>564</v>
      </c>
      <c r="F57" s="159"/>
      <c r="G57" s="57"/>
      <c r="H57" s="57"/>
      <c r="I57" s="57">
        <v>45755</v>
      </c>
      <c r="J57" s="2"/>
      <c r="K57" s="2"/>
      <c r="L57" s="25">
        <v>12.44</v>
      </c>
      <c r="M57" s="103"/>
      <c r="N57" s="48"/>
      <c r="O57" s="48"/>
      <c r="P57" s="27">
        <v>59</v>
      </c>
      <c r="Q57" s="27">
        <v>38</v>
      </c>
      <c r="R57" s="78">
        <f t="shared" si="8"/>
        <v>14.7</v>
      </c>
      <c r="S57" s="2"/>
      <c r="T57" s="144"/>
      <c r="U57" s="110">
        <v>36.5</v>
      </c>
      <c r="V57" s="150"/>
      <c r="W57" s="149">
        <f t="shared" si="5"/>
        <v>15.749999999999998</v>
      </c>
      <c r="X57" s="149">
        <f t="shared" si="6"/>
        <v>-1.0499999999999989</v>
      </c>
    </row>
    <row r="58" spans="1:24">
      <c r="A58" s="110"/>
      <c r="B58" s="110"/>
      <c r="C58" s="138" t="s">
        <v>496</v>
      </c>
      <c r="D58" s="110" t="s">
        <v>559</v>
      </c>
      <c r="E58" s="110" t="s">
        <v>560</v>
      </c>
      <c r="F58" s="110">
        <v>2</v>
      </c>
      <c r="G58" s="57"/>
      <c r="H58" s="57"/>
      <c r="I58" s="57">
        <v>42297</v>
      </c>
      <c r="J58" s="9"/>
      <c r="K58" s="9"/>
      <c r="L58" s="25">
        <v>12.44</v>
      </c>
      <c r="M58" s="103"/>
      <c r="N58" s="48">
        <v>60</v>
      </c>
      <c r="O58" s="48"/>
      <c r="P58" s="27">
        <v>60</v>
      </c>
      <c r="Q58" s="27">
        <v>25</v>
      </c>
      <c r="R58" s="78">
        <f t="shared" si="8"/>
        <v>24.5</v>
      </c>
      <c r="S58" s="2"/>
      <c r="T58" s="144"/>
      <c r="U58" s="118"/>
      <c r="V58" s="149">
        <f>F58*$V$3</f>
        <v>4</v>
      </c>
      <c r="W58" s="149">
        <f t="shared" si="5"/>
        <v>39.199999999999996</v>
      </c>
      <c r="X58" s="149">
        <f t="shared" si="6"/>
        <v>-14.699999999999996</v>
      </c>
    </row>
    <row r="59" spans="1:24">
      <c r="A59" s="110"/>
      <c r="B59" s="110"/>
      <c r="C59" s="137" t="s">
        <v>586</v>
      </c>
      <c r="D59" s="110" t="s">
        <v>555</v>
      </c>
      <c r="E59" s="110" t="s">
        <v>564</v>
      </c>
      <c r="F59" s="118"/>
      <c r="G59" s="35"/>
      <c r="H59" s="35"/>
      <c r="I59" s="35">
        <v>45908</v>
      </c>
      <c r="J59" s="2"/>
      <c r="K59" s="2"/>
      <c r="L59" s="5">
        <v>12.44</v>
      </c>
      <c r="M59" s="102"/>
      <c r="N59" s="40"/>
      <c r="O59" s="40"/>
      <c r="P59" s="6">
        <v>59</v>
      </c>
      <c r="Q59" s="6">
        <v>38</v>
      </c>
      <c r="R59" s="59">
        <f t="shared" si="8"/>
        <v>14.7</v>
      </c>
      <c r="S59" s="2"/>
      <c r="T59" s="144"/>
      <c r="U59" s="110">
        <v>36.5</v>
      </c>
      <c r="V59" s="150"/>
      <c r="W59" s="149">
        <f t="shared" si="5"/>
        <v>15.749999999999998</v>
      </c>
      <c r="X59" s="149">
        <f t="shared" si="6"/>
        <v>-1.0499999999999989</v>
      </c>
    </row>
    <row r="60" spans="1:24">
      <c r="A60" s="110"/>
      <c r="B60" s="110"/>
      <c r="C60" s="137" t="s">
        <v>587</v>
      </c>
      <c r="D60" s="110" t="s">
        <v>559</v>
      </c>
      <c r="E60" s="110" t="s">
        <v>560</v>
      </c>
      <c r="F60" s="110">
        <v>3</v>
      </c>
      <c r="G60" s="35">
        <v>43855</v>
      </c>
      <c r="H60" s="35"/>
      <c r="I60" s="35">
        <v>43941</v>
      </c>
      <c r="J60" s="49"/>
      <c r="K60" s="49"/>
      <c r="L60" s="5">
        <v>13.93</v>
      </c>
      <c r="M60" s="102">
        <f>56/30*85</f>
        <v>158.66666666666666</v>
      </c>
      <c r="N60" s="5"/>
      <c r="O60" s="5"/>
      <c r="P60" s="12">
        <v>60</v>
      </c>
      <c r="Q60" s="61">
        <v>56</v>
      </c>
      <c r="R60" s="12">
        <f t="shared" si="8"/>
        <v>2.8</v>
      </c>
      <c r="S60" s="2"/>
      <c r="T60" s="144"/>
      <c r="U60" s="118"/>
      <c r="V60" s="149">
        <f>F60*$V$3</f>
        <v>6</v>
      </c>
      <c r="W60" s="149">
        <f t="shared" si="5"/>
        <v>37.799999999999997</v>
      </c>
      <c r="X60" s="149">
        <f t="shared" si="6"/>
        <v>-35</v>
      </c>
    </row>
    <row r="61" spans="1:24">
      <c r="A61" s="110"/>
      <c r="B61" s="110"/>
      <c r="C61" s="137" t="s">
        <v>183</v>
      </c>
      <c r="D61" s="110" t="s">
        <v>555</v>
      </c>
      <c r="E61" s="110" t="s">
        <v>564</v>
      </c>
      <c r="F61" s="118"/>
      <c r="G61" s="35"/>
      <c r="H61" s="35"/>
      <c r="I61" s="35">
        <v>46052</v>
      </c>
      <c r="J61" s="2"/>
      <c r="K61" s="2"/>
      <c r="L61" s="5">
        <v>13.73</v>
      </c>
      <c r="M61" s="102"/>
      <c r="N61" s="40"/>
      <c r="O61" s="40"/>
      <c r="P61" s="6">
        <v>69</v>
      </c>
      <c r="Q61" s="6">
        <v>36.5</v>
      </c>
      <c r="R61" s="59">
        <f t="shared" si="8"/>
        <v>22.75</v>
      </c>
      <c r="S61" s="2"/>
      <c r="T61" s="144"/>
      <c r="U61" s="110">
        <v>36.5</v>
      </c>
      <c r="V61" s="150"/>
      <c r="W61" s="149">
        <f t="shared" si="5"/>
        <v>22.75</v>
      </c>
      <c r="X61" s="149">
        <f t="shared" si="6"/>
        <v>0</v>
      </c>
    </row>
    <row r="62" spans="1:24">
      <c r="A62" s="110"/>
      <c r="B62" s="110"/>
      <c r="C62" s="137" t="s">
        <v>76</v>
      </c>
      <c r="D62" s="110" t="s">
        <v>561</v>
      </c>
      <c r="E62" s="110" t="s">
        <v>566</v>
      </c>
      <c r="F62" s="110">
        <v>4</v>
      </c>
      <c r="G62" s="4">
        <v>43677</v>
      </c>
      <c r="H62" s="4"/>
      <c r="I62" s="4">
        <v>43713</v>
      </c>
      <c r="J62" s="49"/>
      <c r="K62" s="49"/>
      <c r="L62" s="5">
        <v>24.06</v>
      </c>
      <c r="M62" s="102">
        <f>80/30*35</f>
        <v>93.333333333333329</v>
      </c>
      <c r="N62" s="5">
        <v>40</v>
      </c>
      <c r="O62" s="5"/>
      <c r="P62" s="6">
        <v>149</v>
      </c>
      <c r="Q62" s="61">
        <v>80</v>
      </c>
      <c r="R62" s="6">
        <f t="shared" si="8"/>
        <v>48.3</v>
      </c>
      <c r="S62" s="2" t="s">
        <v>79</v>
      </c>
      <c r="T62" s="144"/>
      <c r="U62" s="110">
        <v>36.5</v>
      </c>
      <c r="V62" s="149">
        <f>F62*$V$3</f>
        <v>8</v>
      </c>
      <c r="W62" s="149">
        <f t="shared" si="5"/>
        <v>73.149999999999991</v>
      </c>
      <c r="X62" s="149">
        <f t="shared" si="6"/>
        <v>-24.849999999999994</v>
      </c>
    </row>
    <row r="63" spans="1:24">
      <c r="A63" s="110"/>
      <c r="B63" s="110"/>
      <c r="C63" s="137" t="s">
        <v>390</v>
      </c>
      <c r="D63" s="110" t="s">
        <v>561</v>
      </c>
      <c r="E63" s="110" t="s">
        <v>566</v>
      </c>
      <c r="F63" s="110">
        <v>4</v>
      </c>
      <c r="G63" s="35"/>
      <c r="H63" s="35">
        <v>45573</v>
      </c>
      <c r="I63" s="35">
        <v>45621</v>
      </c>
      <c r="J63" s="2"/>
      <c r="K63" s="2"/>
      <c r="L63" s="5">
        <v>16.940000000000001</v>
      </c>
      <c r="M63" s="102">
        <f>47.5/30*47</f>
        <v>74.416666666666657</v>
      </c>
      <c r="N63" s="40">
        <v>60</v>
      </c>
      <c r="O63" s="40"/>
      <c r="P63" s="6">
        <v>130</v>
      </c>
      <c r="Q63" s="6">
        <v>63.5</v>
      </c>
      <c r="R63" s="59">
        <f t="shared" si="8"/>
        <v>46.55</v>
      </c>
      <c r="S63" s="2"/>
      <c r="T63" s="144"/>
      <c r="U63" s="110">
        <v>36.5</v>
      </c>
      <c r="V63" s="149">
        <f>F63*$V$3</f>
        <v>8</v>
      </c>
      <c r="W63" s="149">
        <f t="shared" si="5"/>
        <v>59.849999999999994</v>
      </c>
      <c r="X63" s="149">
        <f t="shared" si="6"/>
        <v>-13.299999999999997</v>
      </c>
    </row>
    <row r="64" spans="1:24">
      <c r="A64" s="110"/>
      <c r="B64" s="110"/>
      <c r="C64" s="137" t="s">
        <v>490</v>
      </c>
      <c r="D64" s="110" t="s">
        <v>555</v>
      </c>
      <c r="E64" s="110" t="s">
        <v>564</v>
      </c>
      <c r="F64" s="118"/>
      <c r="G64" s="35"/>
      <c r="H64" s="35"/>
      <c r="I64" s="35">
        <v>45943</v>
      </c>
      <c r="J64" s="2"/>
      <c r="K64" s="2"/>
      <c r="L64" s="5">
        <v>13.44</v>
      </c>
      <c r="M64" s="102"/>
      <c r="N64" s="40"/>
      <c r="O64" s="40"/>
      <c r="P64" s="6">
        <v>69</v>
      </c>
      <c r="Q64" s="6">
        <v>38</v>
      </c>
      <c r="R64" s="59">
        <f t="shared" si="8"/>
        <v>21.7</v>
      </c>
      <c r="S64" s="2"/>
      <c r="T64" s="144"/>
      <c r="U64" s="110">
        <v>36.5</v>
      </c>
      <c r="V64" s="150"/>
      <c r="W64" s="149">
        <f t="shared" si="5"/>
        <v>22.75</v>
      </c>
      <c r="X64" s="149">
        <f t="shared" si="6"/>
        <v>-1.0500000000000007</v>
      </c>
    </row>
    <row r="65" spans="1:24">
      <c r="A65" s="110"/>
      <c r="B65" s="110"/>
      <c r="C65" s="137" t="s">
        <v>381</v>
      </c>
      <c r="D65" s="110" t="s">
        <v>555</v>
      </c>
      <c r="E65" s="110" t="s">
        <v>564</v>
      </c>
      <c r="F65" s="118"/>
      <c r="G65" s="35"/>
      <c r="H65" s="35">
        <v>45323</v>
      </c>
      <c r="I65" s="4">
        <v>45323</v>
      </c>
      <c r="J65" s="2"/>
      <c r="K65" s="2"/>
      <c r="L65" s="5">
        <v>10.92</v>
      </c>
      <c r="M65" s="102"/>
      <c r="N65" s="40"/>
      <c r="O65" s="40"/>
      <c r="P65" s="6">
        <v>59</v>
      </c>
      <c r="Q65" s="6">
        <v>38</v>
      </c>
      <c r="R65" s="59">
        <f t="shared" si="8"/>
        <v>14.7</v>
      </c>
      <c r="S65" s="2"/>
      <c r="T65" s="144"/>
      <c r="U65" s="110">
        <v>36.5</v>
      </c>
      <c r="V65" s="150"/>
      <c r="W65" s="149">
        <f t="shared" si="5"/>
        <v>15.749999999999998</v>
      </c>
      <c r="X65" s="149">
        <f t="shared" si="6"/>
        <v>-1.0499999999999989</v>
      </c>
    </row>
    <row r="66" spans="1:24">
      <c r="A66" s="110"/>
      <c r="B66" s="110"/>
      <c r="C66" s="137" t="s">
        <v>336</v>
      </c>
      <c r="D66" s="110" t="s">
        <v>555</v>
      </c>
      <c r="E66" s="110" t="s">
        <v>564</v>
      </c>
      <c r="F66" s="118"/>
      <c r="G66" s="35"/>
      <c r="H66" s="35">
        <v>45278</v>
      </c>
      <c r="I66" s="4">
        <v>45278</v>
      </c>
      <c r="J66" s="2"/>
      <c r="K66" s="2"/>
      <c r="L66" s="5"/>
      <c r="M66" s="102"/>
      <c r="N66" s="40"/>
      <c r="O66" s="40"/>
      <c r="P66" s="6">
        <v>69</v>
      </c>
      <c r="Q66" s="6">
        <v>43</v>
      </c>
      <c r="R66" s="59">
        <f>(69-43)*0.7</f>
        <v>18.2</v>
      </c>
      <c r="S66" s="2"/>
      <c r="T66" s="144" t="s">
        <v>577</v>
      </c>
      <c r="U66" s="151">
        <v>43</v>
      </c>
      <c r="V66" s="150"/>
      <c r="W66" s="149">
        <f t="shared" si="5"/>
        <v>18.2</v>
      </c>
      <c r="X66" s="149">
        <f t="shared" si="6"/>
        <v>0</v>
      </c>
    </row>
    <row r="67" spans="1:24">
      <c r="A67" s="110"/>
      <c r="B67" s="110"/>
      <c r="C67" s="137" t="s">
        <v>345</v>
      </c>
      <c r="D67" s="110" t="s">
        <v>559</v>
      </c>
      <c r="E67" s="110" t="s">
        <v>560</v>
      </c>
      <c r="F67" s="110">
        <v>3</v>
      </c>
      <c r="G67" s="35"/>
      <c r="H67" s="35"/>
      <c r="I67" s="4">
        <v>45345</v>
      </c>
      <c r="J67" s="2"/>
      <c r="K67" s="2"/>
      <c r="L67" s="5">
        <v>24.2</v>
      </c>
      <c r="M67" s="102"/>
      <c r="N67" s="40">
        <v>45</v>
      </c>
      <c r="O67" s="40"/>
      <c r="P67" s="6">
        <v>90</v>
      </c>
      <c r="Q67" s="6">
        <f>7+9</f>
        <v>16</v>
      </c>
      <c r="R67" s="59">
        <f>(P67-Q67)*0.7</f>
        <v>51.8</v>
      </c>
      <c r="S67" s="2"/>
      <c r="T67" s="144"/>
      <c r="U67" s="118"/>
      <c r="V67" s="149">
        <f>F67*$V$3</f>
        <v>6</v>
      </c>
      <c r="W67" s="149">
        <f t="shared" si="5"/>
        <v>58.8</v>
      </c>
      <c r="X67" s="149">
        <f t="shared" si="6"/>
        <v>-7</v>
      </c>
    </row>
    <row r="68" spans="1:24">
      <c r="A68" s="110"/>
      <c r="B68" s="110"/>
      <c r="C68" s="137" t="s">
        <v>585</v>
      </c>
      <c r="D68" s="110" t="s">
        <v>561</v>
      </c>
      <c r="E68" s="110" t="s">
        <v>570</v>
      </c>
      <c r="F68" s="110">
        <v>4</v>
      </c>
      <c r="G68" s="4">
        <v>42683</v>
      </c>
      <c r="H68" s="4"/>
      <c r="I68" s="4">
        <v>42718</v>
      </c>
      <c r="J68" s="49"/>
      <c r="K68" s="49"/>
      <c r="L68" s="5">
        <v>8.9700000000000006</v>
      </c>
      <c r="M68" s="102">
        <f>Q68/30*35</f>
        <v>42</v>
      </c>
      <c r="N68" s="5"/>
      <c r="O68" s="5"/>
      <c r="P68" s="12">
        <v>130</v>
      </c>
      <c r="Q68" s="61">
        <v>36</v>
      </c>
      <c r="R68" s="12">
        <f>(P68-Q68)*0.7</f>
        <v>65.8</v>
      </c>
      <c r="S68" s="2"/>
      <c r="T68" s="144" t="s">
        <v>572</v>
      </c>
      <c r="U68" s="110">
        <v>27</v>
      </c>
      <c r="V68" s="160">
        <v>4</v>
      </c>
      <c r="W68" s="149">
        <f t="shared" si="5"/>
        <v>69.3</v>
      </c>
      <c r="X68" s="149">
        <f t="shared" si="6"/>
        <v>-3.5</v>
      </c>
    </row>
    <row r="69" spans="1:24">
      <c r="A69" s="110">
        <v>262</v>
      </c>
      <c r="B69" s="110">
        <v>1000241</v>
      </c>
      <c r="C69" s="10" t="s">
        <v>607</v>
      </c>
      <c r="D69" s="110" t="s">
        <v>555</v>
      </c>
      <c r="E69" s="110" t="s">
        <v>557</v>
      </c>
      <c r="F69" s="118"/>
      <c r="G69" s="4"/>
      <c r="H69" s="4"/>
      <c r="I69" s="4"/>
      <c r="J69" s="49"/>
      <c r="K69" s="49"/>
      <c r="L69" s="5"/>
      <c r="M69" s="102"/>
      <c r="N69" s="5"/>
      <c r="O69" s="5"/>
      <c r="P69" s="12">
        <v>50</v>
      </c>
      <c r="Q69" s="61"/>
      <c r="R69" s="6"/>
      <c r="S69" s="2"/>
      <c r="T69" s="144" t="s">
        <v>572</v>
      </c>
      <c r="U69" s="110">
        <v>27</v>
      </c>
      <c r="V69" s="150"/>
      <c r="W69" s="149">
        <f t="shared" ref="W69:W100" si="9">((P69-(V69+U69+K69))*$W$3)+K69</f>
        <v>16.099999999999998</v>
      </c>
      <c r="X69" s="149">
        <f t="shared" ref="X69:X100" si="10">R69-W69</f>
        <v>-16.099999999999998</v>
      </c>
    </row>
    <row r="70" spans="1:24">
      <c r="A70" s="110">
        <v>262</v>
      </c>
      <c r="B70" s="110">
        <v>1000132</v>
      </c>
      <c r="C70" s="137" t="s">
        <v>49</v>
      </c>
      <c r="D70" s="110" t="s">
        <v>555</v>
      </c>
      <c r="E70" s="110" t="s">
        <v>557</v>
      </c>
      <c r="F70" s="118"/>
      <c r="G70" s="4">
        <v>43367</v>
      </c>
      <c r="H70" s="4"/>
      <c r="I70" s="4">
        <v>43291</v>
      </c>
      <c r="J70" s="49"/>
      <c r="K70" s="49"/>
      <c r="L70" s="5">
        <v>10.039999999999999</v>
      </c>
      <c r="M70" s="102">
        <f>50+25/30*14</f>
        <v>61.666666666666671</v>
      </c>
      <c r="N70" s="5"/>
      <c r="O70" s="5"/>
      <c r="P70" s="12">
        <v>50</v>
      </c>
      <c r="Q70" s="61">
        <v>22</v>
      </c>
      <c r="R70" s="6">
        <f>(P70-Q70)*0.7</f>
        <v>19.599999999999998</v>
      </c>
      <c r="S70" s="2"/>
      <c r="T70" s="144" t="s">
        <v>572</v>
      </c>
      <c r="U70" s="110">
        <v>27</v>
      </c>
      <c r="V70" s="150"/>
      <c r="W70" s="149">
        <f t="shared" si="9"/>
        <v>16.099999999999998</v>
      </c>
      <c r="X70" s="149">
        <f t="shared" si="10"/>
        <v>3.5</v>
      </c>
    </row>
    <row r="71" spans="1:24">
      <c r="A71" s="110">
        <v>262</v>
      </c>
      <c r="B71" s="110">
        <v>1000144</v>
      </c>
      <c r="C71" s="10" t="s">
        <v>605</v>
      </c>
      <c r="D71" s="110" t="s">
        <v>555</v>
      </c>
      <c r="E71" s="110" t="s">
        <v>564</v>
      </c>
      <c r="F71" s="118"/>
      <c r="G71" s="4"/>
      <c r="H71" s="4"/>
      <c r="I71" s="4"/>
      <c r="J71" s="49"/>
      <c r="K71" s="49"/>
      <c r="L71" s="5"/>
      <c r="M71" s="102"/>
      <c r="N71" s="5"/>
      <c r="O71" s="5"/>
      <c r="P71" s="12">
        <v>69</v>
      </c>
      <c r="Q71" s="61"/>
      <c r="R71" s="6"/>
      <c r="S71" s="2"/>
      <c r="T71" s="144"/>
      <c r="U71" s="110">
        <v>36.5</v>
      </c>
      <c r="V71" s="150"/>
      <c r="W71" s="149">
        <f t="shared" si="9"/>
        <v>22.75</v>
      </c>
      <c r="X71" s="149">
        <f t="shared" si="10"/>
        <v>-22.75</v>
      </c>
    </row>
    <row r="72" spans="1:24">
      <c r="A72" s="110">
        <v>262</v>
      </c>
      <c r="B72" s="110">
        <v>1000132</v>
      </c>
      <c r="C72" s="10" t="s">
        <v>48</v>
      </c>
      <c r="D72" s="120" t="s">
        <v>555</v>
      </c>
      <c r="E72" s="120" t="s">
        <v>557</v>
      </c>
      <c r="F72" s="120"/>
      <c r="G72" s="11"/>
      <c r="H72" s="11"/>
      <c r="I72" s="11">
        <v>45890</v>
      </c>
      <c r="J72" s="10"/>
      <c r="K72" s="10"/>
      <c r="L72" s="12">
        <v>13.44</v>
      </c>
      <c r="M72" s="106"/>
      <c r="N72" s="10"/>
      <c r="O72" s="10"/>
      <c r="P72" s="12">
        <v>0</v>
      </c>
      <c r="Q72" s="12">
        <v>38</v>
      </c>
      <c r="R72" s="94">
        <f>(P72-Q72)*0.7</f>
        <v>-26.599999999999998</v>
      </c>
      <c r="S72" s="10"/>
      <c r="T72" s="146" t="s">
        <v>608</v>
      </c>
      <c r="U72" s="120"/>
      <c r="V72" s="163"/>
      <c r="W72" s="164"/>
      <c r="X72" s="164"/>
    </row>
    <row r="73" spans="1:24">
      <c r="A73" s="110">
        <v>262</v>
      </c>
      <c r="B73" s="110">
        <v>1000132</v>
      </c>
      <c r="C73" s="137" t="s">
        <v>48</v>
      </c>
      <c r="D73" s="110" t="s">
        <v>555</v>
      </c>
      <c r="E73" s="110" t="s">
        <v>564</v>
      </c>
      <c r="F73" s="118"/>
      <c r="G73" s="4">
        <v>43367</v>
      </c>
      <c r="H73" s="4"/>
      <c r="I73" s="4">
        <v>43284</v>
      </c>
      <c r="J73" s="49"/>
      <c r="K73" s="49"/>
      <c r="L73" s="5">
        <v>9.1</v>
      </c>
      <c r="M73" s="102">
        <f>25+25/30*27</f>
        <v>47.5</v>
      </c>
      <c r="N73" s="5"/>
      <c r="O73" s="5"/>
      <c r="P73" s="12">
        <v>59</v>
      </c>
      <c r="Q73" s="61">
        <v>25</v>
      </c>
      <c r="R73" s="6">
        <f>(P73-Q73)*0.7</f>
        <v>23.799999999999997</v>
      </c>
      <c r="S73" s="2"/>
      <c r="T73" s="144"/>
      <c r="U73" s="110">
        <v>36.5</v>
      </c>
      <c r="V73" s="150"/>
      <c r="W73" s="149">
        <f t="shared" ref="W73:W80" si="11">((P73-(V73+U73+K73))*$W$3)+K73</f>
        <v>15.749999999999998</v>
      </c>
      <c r="X73" s="149">
        <f t="shared" ref="X73:X80" si="12">R73-W73</f>
        <v>8.0499999999999989</v>
      </c>
    </row>
    <row r="74" spans="1:24">
      <c r="A74" s="110">
        <v>262</v>
      </c>
      <c r="B74" s="110">
        <v>1000132</v>
      </c>
      <c r="C74" s="137" t="s">
        <v>50</v>
      </c>
      <c r="D74" s="110" t="s">
        <v>555</v>
      </c>
      <c r="E74" s="110" t="s">
        <v>557</v>
      </c>
      <c r="F74" s="118"/>
      <c r="G74" s="4">
        <v>43367</v>
      </c>
      <c r="H74" s="4"/>
      <c r="I74" s="4">
        <v>43312</v>
      </c>
      <c r="J74" s="49"/>
      <c r="K74" s="49"/>
      <c r="L74" s="5">
        <v>10.86</v>
      </c>
      <c r="M74" s="102">
        <f>25+25/30*24</f>
        <v>45</v>
      </c>
      <c r="N74" s="5"/>
      <c r="O74" s="5"/>
      <c r="P74" s="12">
        <v>50</v>
      </c>
      <c r="Q74" s="61">
        <v>25</v>
      </c>
      <c r="R74" s="6">
        <f>(P74-Q74)*0.7</f>
        <v>17.5</v>
      </c>
      <c r="S74" s="2"/>
      <c r="T74" s="144" t="s">
        <v>572</v>
      </c>
      <c r="U74" s="110">
        <v>27</v>
      </c>
      <c r="V74" s="150"/>
      <c r="W74" s="149">
        <f t="shared" si="11"/>
        <v>16.099999999999998</v>
      </c>
      <c r="X74" s="149">
        <f t="shared" si="12"/>
        <v>1.4000000000000021</v>
      </c>
    </row>
    <row r="75" spans="1:24">
      <c r="A75" s="110">
        <v>262</v>
      </c>
      <c r="B75" s="110">
        <v>1000132</v>
      </c>
      <c r="C75" s="137" t="s">
        <v>580</v>
      </c>
      <c r="D75" s="110" t="s">
        <v>555</v>
      </c>
      <c r="E75" s="110" t="s">
        <v>557</v>
      </c>
      <c r="F75" s="118"/>
      <c r="G75" s="35">
        <v>45061</v>
      </c>
      <c r="H75" s="35">
        <v>45070</v>
      </c>
      <c r="I75" s="35">
        <v>45070</v>
      </c>
      <c r="J75" s="2"/>
      <c r="K75" s="2"/>
      <c r="L75" s="5">
        <v>11.48</v>
      </c>
      <c r="M75" s="102">
        <f>21/30*9</f>
        <v>6.3</v>
      </c>
      <c r="N75" s="40"/>
      <c r="O75" s="40"/>
      <c r="P75" s="6">
        <f>50</f>
        <v>50</v>
      </c>
      <c r="Q75" s="6">
        <v>21</v>
      </c>
      <c r="R75" s="59">
        <f>(50-21)*0.7</f>
        <v>20.299999999999997</v>
      </c>
      <c r="S75" s="2"/>
      <c r="T75" s="144" t="s">
        <v>572</v>
      </c>
      <c r="U75" s="110">
        <v>27</v>
      </c>
      <c r="V75" s="150"/>
      <c r="W75" s="149">
        <f t="shared" si="11"/>
        <v>16.099999999999998</v>
      </c>
      <c r="X75" s="149">
        <f t="shared" si="12"/>
        <v>4.1999999999999993</v>
      </c>
    </row>
    <row r="76" spans="1:24">
      <c r="A76" s="110">
        <v>262</v>
      </c>
      <c r="B76" s="110">
        <v>1000131</v>
      </c>
      <c r="C76" s="21" t="s">
        <v>47</v>
      </c>
      <c r="D76" s="110" t="s">
        <v>555</v>
      </c>
      <c r="E76" s="110" t="s">
        <v>557</v>
      </c>
      <c r="F76" s="119"/>
      <c r="G76" s="4">
        <v>43355</v>
      </c>
      <c r="H76" s="4"/>
      <c r="I76" s="4">
        <v>43277</v>
      </c>
      <c r="J76" s="49"/>
      <c r="K76" s="49"/>
      <c r="L76" s="5">
        <v>19.98</v>
      </c>
      <c r="M76" s="102">
        <f>36*2+36/30*16</f>
        <v>91.2</v>
      </c>
      <c r="N76" s="5"/>
      <c r="O76" s="5"/>
      <c r="P76" s="12">
        <v>50</v>
      </c>
      <c r="Q76" s="62">
        <v>36</v>
      </c>
      <c r="R76" s="167">
        <f t="shared" ref="R76:R86" si="13">(P76-Q76)*0.7</f>
        <v>9.7999999999999989</v>
      </c>
      <c r="S76" s="2"/>
      <c r="T76" s="144" t="s">
        <v>572</v>
      </c>
      <c r="U76" s="110">
        <v>27</v>
      </c>
      <c r="V76" s="150"/>
      <c r="W76" s="149">
        <f t="shared" si="11"/>
        <v>16.099999999999998</v>
      </c>
      <c r="X76" s="149">
        <f t="shared" si="12"/>
        <v>-6.2999999999999989</v>
      </c>
    </row>
    <row r="77" spans="1:24">
      <c r="A77" s="110">
        <v>262</v>
      </c>
      <c r="B77" s="110">
        <v>1000131</v>
      </c>
      <c r="C77" s="21" t="s">
        <v>609</v>
      </c>
      <c r="D77" s="110" t="s">
        <v>555</v>
      </c>
      <c r="E77" s="110" t="s">
        <v>557</v>
      </c>
      <c r="F77" s="119"/>
      <c r="G77" s="4">
        <v>43363</v>
      </c>
      <c r="H77" s="4"/>
      <c r="I77" s="4">
        <v>43440</v>
      </c>
      <c r="J77" s="49"/>
      <c r="K77" s="49"/>
      <c r="L77" s="5">
        <v>14.11</v>
      </c>
      <c r="M77" s="102">
        <f>25*2+25*16/30</f>
        <v>63.333333333333336</v>
      </c>
      <c r="N77" s="5"/>
      <c r="O77" s="5"/>
      <c r="P77" s="12">
        <v>50</v>
      </c>
      <c r="Q77" s="62">
        <v>25</v>
      </c>
      <c r="R77" s="167">
        <f t="shared" si="13"/>
        <v>17.5</v>
      </c>
      <c r="S77" s="2"/>
      <c r="T77" s="144" t="s">
        <v>572</v>
      </c>
      <c r="U77" s="110">
        <v>27</v>
      </c>
      <c r="V77" s="150"/>
      <c r="W77" s="149">
        <f t="shared" si="11"/>
        <v>16.099999999999998</v>
      </c>
      <c r="X77" s="149">
        <f t="shared" si="12"/>
        <v>1.4000000000000021</v>
      </c>
    </row>
    <row r="78" spans="1:24">
      <c r="A78" s="110">
        <v>262</v>
      </c>
      <c r="B78" s="110">
        <v>1000131</v>
      </c>
      <c r="C78" s="21" t="s">
        <v>610</v>
      </c>
      <c r="D78" s="121" t="s">
        <v>555</v>
      </c>
      <c r="E78" s="121" t="s">
        <v>557</v>
      </c>
      <c r="F78" s="166"/>
      <c r="G78" s="24">
        <v>43361</v>
      </c>
      <c r="H78" s="24"/>
      <c r="I78" s="24">
        <v>43132</v>
      </c>
      <c r="J78" s="58"/>
      <c r="K78" s="58"/>
      <c r="L78" s="25">
        <v>14.11</v>
      </c>
      <c r="M78" s="103">
        <f>25*4+25/30*12</f>
        <v>110</v>
      </c>
      <c r="N78" s="25"/>
      <c r="O78" s="25"/>
      <c r="P78" s="12">
        <v>50</v>
      </c>
      <c r="Q78" s="63">
        <v>25</v>
      </c>
      <c r="R78" s="168">
        <f t="shared" si="13"/>
        <v>17.5</v>
      </c>
      <c r="S78" s="2"/>
      <c r="T78" s="144" t="s">
        <v>572</v>
      </c>
      <c r="U78" s="110">
        <v>27</v>
      </c>
      <c r="V78" s="150"/>
      <c r="W78" s="149">
        <f t="shared" si="11"/>
        <v>16.099999999999998</v>
      </c>
      <c r="X78" s="149">
        <f t="shared" si="12"/>
        <v>1.4000000000000021</v>
      </c>
    </row>
    <row r="79" spans="1:24">
      <c r="A79" s="110">
        <v>262</v>
      </c>
      <c r="B79" s="110">
        <v>1000131</v>
      </c>
      <c r="C79" s="21" t="s">
        <v>611</v>
      </c>
      <c r="D79" s="110" t="s">
        <v>555</v>
      </c>
      <c r="E79" s="110" t="s">
        <v>557</v>
      </c>
      <c r="F79" s="119"/>
      <c r="G79" s="4">
        <v>43367</v>
      </c>
      <c r="H79" s="4"/>
      <c r="I79" s="4">
        <v>43308</v>
      </c>
      <c r="J79" s="49"/>
      <c r="K79" s="49"/>
      <c r="L79" s="5">
        <v>10.86</v>
      </c>
      <c r="M79" s="102">
        <f>25+25/30*27</f>
        <v>47.5</v>
      </c>
      <c r="N79" s="5"/>
      <c r="O79" s="5"/>
      <c r="P79" s="12">
        <v>50</v>
      </c>
      <c r="Q79" s="61">
        <v>25</v>
      </c>
      <c r="R79" s="165">
        <f t="shared" si="13"/>
        <v>17.5</v>
      </c>
      <c r="S79" s="2"/>
      <c r="T79" s="144" t="s">
        <v>572</v>
      </c>
      <c r="U79" s="110">
        <v>27</v>
      </c>
      <c r="V79" s="150"/>
      <c r="W79" s="149">
        <f t="shared" si="11"/>
        <v>16.099999999999998</v>
      </c>
      <c r="X79" s="149">
        <f t="shared" si="12"/>
        <v>1.4000000000000021</v>
      </c>
    </row>
    <row r="80" spans="1:24">
      <c r="A80" s="110">
        <v>262</v>
      </c>
      <c r="B80" s="110">
        <v>1000134</v>
      </c>
      <c r="C80" s="137" t="s">
        <v>51</v>
      </c>
      <c r="D80" s="110" t="s">
        <v>555</v>
      </c>
      <c r="E80" s="110" t="s">
        <v>557</v>
      </c>
      <c r="F80" s="118"/>
      <c r="G80" s="4">
        <v>43358</v>
      </c>
      <c r="H80" s="4"/>
      <c r="I80" s="4">
        <v>43291</v>
      </c>
      <c r="J80" s="49"/>
      <c r="K80" s="49"/>
      <c r="L80" s="5">
        <v>10.039999999999999</v>
      </c>
      <c r="M80" s="102">
        <f>50+25/30*5</f>
        <v>54.166666666666664</v>
      </c>
      <c r="N80" s="5"/>
      <c r="O80" s="5"/>
      <c r="P80" s="12">
        <v>50</v>
      </c>
      <c r="Q80" s="61">
        <v>25</v>
      </c>
      <c r="R80" s="6">
        <f t="shared" si="13"/>
        <v>17.5</v>
      </c>
      <c r="S80" s="2"/>
      <c r="T80" s="144" t="s">
        <v>572</v>
      </c>
      <c r="U80" s="110">
        <v>27</v>
      </c>
      <c r="V80" s="150"/>
      <c r="W80" s="149">
        <f t="shared" si="11"/>
        <v>16.099999999999998</v>
      </c>
      <c r="X80" s="149">
        <f t="shared" si="12"/>
        <v>1.4000000000000021</v>
      </c>
    </row>
    <row r="81" spans="1:24">
      <c r="A81" s="110">
        <v>262</v>
      </c>
      <c r="B81" s="110"/>
      <c r="C81" s="10" t="s">
        <v>581</v>
      </c>
      <c r="D81" s="110" t="s">
        <v>555</v>
      </c>
      <c r="E81" s="110" t="s">
        <v>557</v>
      </c>
      <c r="F81" s="118"/>
      <c r="G81" s="11">
        <v>43635</v>
      </c>
      <c r="H81" s="11"/>
      <c r="I81" s="11">
        <v>43662</v>
      </c>
      <c r="J81" s="12"/>
      <c r="K81" s="12"/>
      <c r="L81" s="12">
        <f>10.86*2</f>
        <v>21.72</v>
      </c>
      <c r="M81" s="106"/>
      <c r="N81" s="12"/>
      <c r="O81" s="12"/>
      <c r="P81" s="12">
        <v>0</v>
      </c>
      <c r="Q81" s="107">
        <v>26</v>
      </c>
      <c r="R81" s="12">
        <f t="shared" si="13"/>
        <v>-18.2</v>
      </c>
      <c r="S81" s="10" t="s">
        <v>72</v>
      </c>
      <c r="T81" s="146" t="s">
        <v>608</v>
      </c>
      <c r="U81" s="120"/>
      <c r="V81" s="120"/>
      <c r="W81" s="120"/>
      <c r="X81" s="120"/>
    </row>
    <row r="82" spans="1:24">
      <c r="A82" s="110"/>
      <c r="B82" s="110"/>
      <c r="C82" s="137" t="s">
        <v>10</v>
      </c>
      <c r="D82" s="110" t="s">
        <v>555</v>
      </c>
      <c r="E82" s="110" t="s">
        <v>557</v>
      </c>
      <c r="F82" s="118"/>
      <c r="G82" s="4">
        <v>41852</v>
      </c>
      <c r="H82" s="4"/>
      <c r="I82" s="4">
        <v>41852</v>
      </c>
      <c r="J82" s="49"/>
      <c r="K82" s="49"/>
      <c r="L82" s="5">
        <v>10</v>
      </c>
      <c r="M82" s="102"/>
      <c r="N82" s="5"/>
      <c r="O82" s="5">
        <f>J82+L82+N82</f>
        <v>10</v>
      </c>
      <c r="P82" s="6">
        <v>40</v>
      </c>
      <c r="Q82" s="61">
        <v>25</v>
      </c>
      <c r="R82" s="6">
        <f t="shared" si="13"/>
        <v>10.5</v>
      </c>
      <c r="S82" s="2"/>
      <c r="T82" s="144" t="s">
        <v>572</v>
      </c>
      <c r="U82" s="110">
        <v>27</v>
      </c>
      <c r="V82" s="150"/>
      <c r="W82" s="149">
        <f t="shared" ref="W82:W113" si="14">((P82-(V82+U82+K82))*$W$3)+K82</f>
        <v>9.1</v>
      </c>
      <c r="X82" s="149">
        <f t="shared" ref="X82:X113" si="15">R82-W82</f>
        <v>1.4000000000000004</v>
      </c>
    </row>
    <row r="83" spans="1:24">
      <c r="A83" s="110"/>
      <c r="B83" s="110"/>
      <c r="C83" s="137" t="s">
        <v>27</v>
      </c>
      <c r="D83" s="110" t="s">
        <v>555</v>
      </c>
      <c r="E83" s="110" t="s">
        <v>557</v>
      </c>
      <c r="F83" s="118"/>
      <c r="G83" s="4">
        <v>42656</v>
      </c>
      <c r="H83" s="4"/>
      <c r="I83" s="4">
        <v>42705</v>
      </c>
      <c r="J83" s="49"/>
      <c r="K83" s="49"/>
      <c r="L83" s="5">
        <v>8.17</v>
      </c>
      <c r="M83" s="102">
        <f>Q83/30*47</f>
        <v>39.166666666666671</v>
      </c>
      <c r="N83" s="5"/>
      <c r="O83" s="5"/>
      <c r="P83" s="6">
        <v>40</v>
      </c>
      <c r="Q83" s="61">
        <v>25</v>
      </c>
      <c r="R83" s="6">
        <f t="shared" si="13"/>
        <v>10.5</v>
      </c>
      <c r="S83" s="2"/>
      <c r="T83" s="144" t="s">
        <v>572</v>
      </c>
      <c r="U83" s="110">
        <v>27</v>
      </c>
      <c r="V83" s="150"/>
      <c r="W83" s="149">
        <f t="shared" si="14"/>
        <v>9.1</v>
      </c>
      <c r="X83" s="149">
        <f t="shared" si="15"/>
        <v>1.4000000000000004</v>
      </c>
    </row>
    <row r="84" spans="1:24">
      <c r="A84" s="110"/>
      <c r="B84" s="110"/>
      <c r="C84" s="137" t="s">
        <v>28</v>
      </c>
      <c r="D84" s="110" t="s">
        <v>555</v>
      </c>
      <c r="E84" s="110" t="s">
        <v>557</v>
      </c>
      <c r="F84" s="118"/>
      <c r="G84" s="4">
        <v>42711</v>
      </c>
      <c r="H84" s="4"/>
      <c r="I84" s="4">
        <v>42734</v>
      </c>
      <c r="J84" s="49"/>
      <c r="K84" s="49"/>
      <c r="L84" s="5">
        <v>8.17</v>
      </c>
      <c r="M84" s="102">
        <f>Q84/30*23</f>
        <v>19.166666666666668</v>
      </c>
      <c r="N84" s="5"/>
      <c r="O84" s="5"/>
      <c r="P84" s="6">
        <v>40</v>
      </c>
      <c r="Q84" s="61">
        <v>25</v>
      </c>
      <c r="R84" s="6">
        <f t="shared" si="13"/>
        <v>10.5</v>
      </c>
      <c r="S84" s="2"/>
      <c r="T84" s="144" t="s">
        <v>572</v>
      </c>
      <c r="U84" s="110">
        <v>27</v>
      </c>
      <c r="V84" s="150"/>
      <c r="W84" s="149">
        <f t="shared" si="14"/>
        <v>9.1</v>
      </c>
      <c r="X84" s="149">
        <f t="shared" si="15"/>
        <v>1.4000000000000004</v>
      </c>
    </row>
    <row r="85" spans="1:24">
      <c r="A85" s="110"/>
      <c r="B85" s="110"/>
      <c r="C85" s="137" t="s">
        <v>543</v>
      </c>
      <c r="D85" s="110" t="s">
        <v>555</v>
      </c>
      <c r="E85" s="110" t="s">
        <v>564</v>
      </c>
      <c r="F85" s="118"/>
      <c r="G85" s="35"/>
      <c r="H85" s="35"/>
      <c r="I85" s="35">
        <v>46063</v>
      </c>
      <c r="J85" s="2"/>
      <c r="K85" s="2"/>
      <c r="L85" s="5">
        <v>13.73</v>
      </c>
      <c r="M85" s="102"/>
      <c r="N85" s="40"/>
      <c r="O85" s="40"/>
      <c r="P85" s="6">
        <v>59</v>
      </c>
      <c r="Q85" s="6">
        <v>36.5</v>
      </c>
      <c r="R85" s="59">
        <f t="shared" si="13"/>
        <v>15.749999999999998</v>
      </c>
      <c r="S85" s="2"/>
      <c r="T85" s="144"/>
      <c r="U85" s="110">
        <v>36.5</v>
      </c>
      <c r="V85" s="150"/>
      <c r="W85" s="149">
        <f t="shared" si="14"/>
        <v>15.749999999999998</v>
      </c>
      <c r="X85" s="149">
        <f t="shared" si="15"/>
        <v>0</v>
      </c>
    </row>
    <row r="86" spans="1:24">
      <c r="A86" s="110"/>
      <c r="B86" s="110"/>
      <c r="C86" s="137" t="s">
        <v>15</v>
      </c>
      <c r="D86" s="110" t="s">
        <v>555</v>
      </c>
      <c r="E86" s="110" t="s">
        <v>557</v>
      </c>
      <c r="F86" s="118"/>
      <c r="G86" s="4">
        <v>42272</v>
      </c>
      <c r="H86" s="4"/>
      <c r="I86" s="4">
        <v>42275</v>
      </c>
      <c r="J86" s="49"/>
      <c r="K86" s="49"/>
      <c r="L86" s="5"/>
      <c r="M86" s="102">
        <f>25/30*3</f>
        <v>2.5</v>
      </c>
      <c r="N86" s="5"/>
      <c r="O86" s="5">
        <f>J86+L86+N86</f>
        <v>0</v>
      </c>
      <c r="P86" s="6">
        <v>40</v>
      </c>
      <c r="Q86" s="61">
        <v>25</v>
      </c>
      <c r="R86" s="6">
        <f t="shared" si="13"/>
        <v>10.5</v>
      </c>
      <c r="S86" s="2"/>
      <c r="T86" s="144" t="s">
        <v>572</v>
      </c>
      <c r="U86" s="110">
        <v>27</v>
      </c>
      <c r="V86" s="150"/>
      <c r="W86" s="149">
        <f t="shared" si="14"/>
        <v>9.1</v>
      </c>
      <c r="X86" s="149">
        <f t="shared" si="15"/>
        <v>1.4000000000000004</v>
      </c>
    </row>
    <row r="87" spans="1:24">
      <c r="A87" s="110"/>
      <c r="B87" s="110"/>
      <c r="C87" s="137" t="s">
        <v>125</v>
      </c>
      <c r="D87" s="110" t="s">
        <v>559</v>
      </c>
      <c r="E87" s="110" t="s">
        <v>560</v>
      </c>
      <c r="F87" s="110">
        <v>3</v>
      </c>
      <c r="G87" s="4">
        <v>44342</v>
      </c>
      <c r="H87" s="4"/>
      <c r="I87" s="4">
        <v>44386</v>
      </c>
      <c r="J87" s="133" t="s">
        <v>160</v>
      </c>
      <c r="K87" s="133">
        <v>12.5</v>
      </c>
      <c r="L87" s="5">
        <v>15.46</v>
      </c>
      <c r="M87" s="102">
        <f>36/30*43</f>
        <v>51.6</v>
      </c>
      <c r="N87" s="5">
        <f>50+45</f>
        <v>95</v>
      </c>
      <c r="O87" s="5"/>
      <c r="P87" s="6">
        <v>80</v>
      </c>
      <c r="Q87" s="61">
        <v>33</v>
      </c>
      <c r="R87" s="6">
        <f>12.5+(P87-Q87-12.5)*0.7</f>
        <v>36.65</v>
      </c>
      <c r="S87" s="2"/>
      <c r="T87" s="144"/>
      <c r="U87" s="118"/>
      <c r="V87" s="149">
        <f>F87*$V$3</f>
        <v>6</v>
      </c>
      <c r="W87" s="149">
        <f t="shared" si="14"/>
        <v>55.55</v>
      </c>
      <c r="X87" s="149">
        <f t="shared" si="15"/>
        <v>-18.899999999999999</v>
      </c>
    </row>
    <row r="88" spans="1:24">
      <c r="A88" s="110"/>
      <c r="B88" s="110"/>
      <c r="C88" s="137" t="s">
        <v>361</v>
      </c>
      <c r="D88" s="110" t="s">
        <v>555</v>
      </c>
      <c r="E88" s="110" t="s">
        <v>564</v>
      </c>
      <c r="F88" s="118"/>
      <c r="G88" s="35"/>
      <c r="H88" s="35">
        <v>45366</v>
      </c>
      <c r="I88" s="4">
        <v>45385</v>
      </c>
      <c r="J88" s="2"/>
      <c r="K88" s="2"/>
      <c r="L88" s="5"/>
      <c r="M88" s="102">
        <f>69/30*18</f>
        <v>41.4</v>
      </c>
      <c r="N88" s="40"/>
      <c r="O88" s="40"/>
      <c r="P88" s="6">
        <v>69</v>
      </c>
      <c r="Q88" s="6">
        <v>43</v>
      </c>
      <c r="R88" s="59">
        <f>(P88-Q88)*0.7</f>
        <v>18.2</v>
      </c>
      <c r="S88" s="2"/>
      <c r="T88" s="144" t="s">
        <v>577</v>
      </c>
      <c r="U88" s="151">
        <v>43</v>
      </c>
      <c r="V88" s="150"/>
      <c r="W88" s="149">
        <f t="shared" si="14"/>
        <v>18.2</v>
      </c>
      <c r="X88" s="149">
        <f t="shared" si="15"/>
        <v>0</v>
      </c>
    </row>
    <row r="89" spans="1:24">
      <c r="A89" s="110"/>
      <c r="B89" s="110"/>
      <c r="C89" s="137" t="s">
        <v>32</v>
      </c>
      <c r="D89" s="110" t="s">
        <v>559</v>
      </c>
      <c r="E89" s="110" t="s">
        <v>560</v>
      </c>
      <c r="F89" s="110">
        <v>3</v>
      </c>
      <c r="G89" s="4">
        <v>42857</v>
      </c>
      <c r="H89" s="4"/>
      <c r="I89" s="4">
        <v>42866</v>
      </c>
      <c r="J89" s="49"/>
      <c r="K89" s="49"/>
      <c r="L89" s="5"/>
      <c r="M89" s="102">
        <f>23/30*9</f>
        <v>6.9</v>
      </c>
      <c r="N89" s="5">
        <f>60*0.7</f>
        <v>42</v>
      </c>
      <c r="O89" s="5"/>
      <c r="P89" s="6">
        <v>60</v>
      </c>
      <c r="Q89" s="61">
        <v>23</v>
      </c>
      <c r="R89" s="6">
        <f>(P89-Q89)*0.7</f>
        <v>25.9</v>
      </c>
      <c r="S89" s="2"/>
      <c r="T89" s="144"/>
      <c r="U89" s="118"/>
      <c r="V89" s="149">
        <f>F89*$V$3</f>
        <v>6</v>
      </c>
      <c r="W89" s="149">
        <f t="shared" si="14"/>
        <v>37.799999999999997</v>
      </c>
      <c r="X89" s="149">
        <f t="shared" si="15"/>
        <v>-11.899999999999999</v>
      </c>
    </row>
    <row r="90" spans="1:24">
      <c r="A90" s="110"/>
      <c r="B90" s="110"/>
      <c r="C90" s="137" t="s">
        <v>153</v>
      </c>
      <c r="D90" s="110" t="s">
        <v>559</v>
      </c>
      <c r="E90" s="110" t="s">
        <v>560</v>
      </c>
      <c r="F90" s="110">
        <v>1</v>
      </c>
      <c r="G90" s="4">
        <v>44623</v>
      </c>
      <c r="H90" s="4"/>
      <c r="I90" s="4">
        <v>44623</v>
      </c>
      <c r="J90" s="2"/>
      <c r="K90" s="2"/>
      <c r="L90" s="5">
        <v>11.03</v>
      </c>
      <c r="M90" s="102">
        <v>0</v>
      </c>
      <c r="N90" s="5">
        <v>15</v>
      </c>
      <c r="O90" s="5"/>
      <c r="P90" s="6">
        <v>30</v>
      </c>
      <c r="Q90" s="61">
        <v>12</v>
      </c>
      <c r="R90" s="6">
        <f>(P90-Q90)*0.7</f>
        <v>12.6</v>
      </c>
      <c r="S90" s="2"/>
      <c r="T90" s="144"/>
      <c r="U90" s="118"/>
      <c r="V90" s="149">
        <f>F90*$V$3</f>
        <v>2</v>
      </c>
      <c r="W90" s="149">
        <f t="shared" si="14"/>
        <v>19.599999999999998</v>
      </c>
      <c r="X90" s="149">
        <f t="shared" si="15"/>
        <v>-6.9999999999999982</v>
      </c>
    </row>
    <row r="91" spans="1:24">
      <c r="A91" s="110"/>
      <c r="B91" s="110"/>
      <c r="C91" s="137" t="s">
        <v>102</v>
      </c>
      <c r="D91" s="110" t="s">
        <v>561</v>
      </c>
      <c r="E91" s="110" t="s">
        <v>588</v>
      </c>
      <c r="F91" s="110">
        <v>7</v>
      </c>
      <c r="G91" s="4" t="s">
        <v>103</v>
      </c>
      <c r="H91" s="4"/>
      <c r="I91" s="4">
        <v>44110</v>
      </c>
      <c r="J91" s="133" t="s">
        <v>160</v>
      </c>
      <c r="K91" s="133">
        <v>10</v>
      </c>
      <c r="L91" s="5">
        <v>36.65</v>
      </c>
      <c r="M91" s="102">
        <f>115/30*26</f>
        <v>99.666666666666671</v>
      </c>
      <c r="N91" s="5"/>
      <c r="O91" s="5"/>
      <c r="P91" s="6">
        <v>180</v>
      </c>
      <c r="Q91" s="61">
        <v>115</v>
      </c>
      <c r="R91" s="6">
        <f>10+55*0.7</f>
        <v>48.5</v>
      </c>
      <c r="S91" s="2"/>
      <c r="T91" s="145" t="s">
        <v>589</v>
      </c>
      <c r="U91" s="110">
        <v>36.5</v>
      </c>
      <c r="V91" s="158">
        <f>F91*$V$3+1</f>
        <v>15</v>
      </c>
      <c r="W91" s="149">
        <f t="shared" si="14"/>
        <v>92.949999999999989</v>
      </c>
      <c r="X91" s="149">
        <f t="shared" si="15"/>
        <v>-44.449999999999989</v>
      </c>
    </row>
    <row r="92" spans="1:24">
      <c r="A92" s="110"/>
      <c r="B92" s="110"/>
      <c r="C92" s="137" t="s">
        <v>292</v>
      </c>
      <c r="D92" s="110" t="s">
        <v>559</v>
      </c>
      <c r="E92" s="110" t="s">
        <v>560</v>
      </c>
      <c r="F92" s="110">
        <v>3</v>
      </c>
      <c r="G92" s="35">
        <v>45138</v>
      </c>
      <c r="H92" s="35">
        <v>45139</v>
      </c>
      <c r="I92" s="35">
        <v>45162</v>
      </c>
      <c r="J92" s="2"/>
      <c r="K92" s="2"/>
      <c r="L92" s="5">
        <v>12.48</v>
      </c>
      <c r="M92" s="102">
        <f>27/30*23</f>
        <v>20.7</v>
      </c>
      <c r="N92" s="40">
        <v>45</v>
      </c>
      <c r="O92" s="40"/>
      <c r="P92" s="6">
        <v>90</v>
      </c>
      <c r="Q92" s="6">
        <v>27</v>
      </c>
      <c r="R92" s="59">
        <f t="shared" ref="R92:R109" si="16">(P92-Q92)*0.7</f>
        <v>44.099999999999994</v>
      </c>
      <c r="S92" s="2"/>
      <c r="T92" s="144"/>
      <c r="U92" s="118"/>
      <c r="V92" s="149">
        <f>F92*$V$3</f>
        <v>6</v>
      </c>
      <c r="W92" s="149">
        <f t="shared" si="14"/>
        <v>58.8</v>
      </c>
      <c r="X92" s="149">
        <f t="shared" si="15"/>
        <v>-14.700000000000003</v>
      </c>
    </row>
    <row r="93" spans="1:24">
      <c r="A93" s="110"/>
      <c r="B93" s="110"/>
      <c r="C93" s="137" t="s">
        <v>39</v>
      </c>
      <c r="D93" s="110" t="s">
        <v>559</v>
      </c>
      <c r="E93" s="110" t="s">
        <v>560</v>
      </c>
      <c r="F93" s="110">
        <v>3</v>
      </c>
      <c r="G93" s="4">
        <v>43081</v>
      </c>
      <c r="H93" s="4"/>
      <c r="I93" s="4">
        <v>43109</v>
      </c>
      <c r="J93" s="49"/>
      <c r="K93" s="49"/>
      <c r="L93" s="5">
        <v>9.83</v>
      </c>
      <c r="M93" s="102">
        <f>36/30*28</f>
        <v>33.6</v>
      </c>
      <c r="N93" s="5"/>
      <c r="O93" s="5"/>
      <c r="P93" s="12">
        <v>60</v>
      </c>
      <c r="Q93" s="61">
        <v>36</v>
      </c>
      <c r="R93" s="12">
        <f t="shared" si="16"/>
        <v>16.799999999999997</v>
      </c>
      <c r="S93" s="2"/>
      <c r="T93" s="144" t="s">
        <v>590</v>
      </c>
      <c r="U93" s="118"/>
      <c r="V93" s="149">
        <f>F93*$V$3</f>
        <v>6</v>
      </c>
      <c r="W93" s="149">
        <f t="shared" si="14"/>
        <v>37.799999999999997</v>
      </c>
      <c r="X93" s="149">
        <f t="shared" si="15"/>
        <v>-21</v>
      </c>
    </row>
    <row r="94" spans="1:24">
      <c r="A94" s="110"/>
      <c r="B94" s="110"/>
      <c r="C94" s="137" t="s">
        <v>526</v>
      </c>
      <c r="D94" s="110" t="s">
        <v>555</v>
      </c>
      <c r="E94" s="110" t="s">
        <v>564</v>
      </c>
      <c r="F94" s="118"/>
      <c r="G94" s="35"/>
      <c r="H94" s="35"/>
      <c r="I94" s="35">
        <v>45980</v>
      </c>
      <c r="J94" s="2"/>
      <c r="K94" s="2"/>
      <c r="L94" s="5"/>
      <c r="M94" s="102"/>
      <c r="N94" s="40"/>
      <c r="O94" s="40"/>
      <c r="P94" s="6">
        <v>59</v>
      </c>
      <c r="Q94" s="6">
        <v>36.5</v>
      </c>
      <c r="R94" s="59">
        <f t="shared" si="16"/>
        <v>15.749999999999998</v>
      </c>
      <c r="S94" s="2"/>
      <c r="T94" s="144"/>
      <c r="U94" s="110">
        <v>36.5</v>
      </c>
      <c r="V94" s="150"/>
      <c r="W94" s="149">
        <f t="shared" si="14"/>
        <v>15.749999999999998</v>
      </c>
      <c r="X94" s="149">
        <f t="shared" si="15"/>
        <v>0</v>
      </c>
    </row>
    <row r="95" spans="1:24">
      <c r="A95" s="110"/>
      <c r="B95" s="110"/>
      <c r="C95" s="137" t="s">
        <v>525</v>
      </c>
      <c r="D95" s="110" t="s">
        <v>559</v>
      </c>
      <c r="E95" s="110" t="s">
        <v>560</v>
      </c>
      <c r="F95" s="110">
        <v>1</v>
      </c>
      <c r="G95" s="35"/>
      <c r="H95" s="35"/>
      <c r="I95" s="35">
        <v>46002</v>
      </c>
      <c r="J95" s="2"/>
      <c r="K95" s="2"/>
      <c r="L95" s="5">
        <v>13.54</v>
      </c>
      <c r="M95" s="102"/>
      <c r="N95" s="40"/>
      <c r="O95" s="40"/>
      <c r="P95" s="6">
        <v>25</v>
      </c>
      <c r="Q95" s="6">
        <v>4.5</v>
      </c>
      <c r="R95" s="59">
        <f t="shared" si="16"/>
        <v>14.35</v>
      </c>
      <c r="S95" s="2"/>
      <c r="T95" s="144"/>
      <c r="U95" s="118"/>
      <c r="V95" s="149">
        <f>F95*$V$3</f>
        <v>2</v>
      </c>
      <c r="W95" s="149">
        <f t="shared" si="14"/>
        <v>16.099999999999998</v>
      </c>
      <c r="X95" s="149">
        <f t="shared" si="15"/>
        <v>-1.7499999999999982</v>
      </c>
    </row>
    <row r="96" spans="1:24">
      <c r="A96" s="110">
        <v>271</v>
      </c>
      <c r="B96" s="110">
        <v>1000026</v>
      </c>
      <c r="C96" s="137" t="s">
        <v>417</v>
      </c>
      <c r="D96" s="110" t="s">
        <v>555</v>
      </c>
      <c r="E96" s="110" t="s">
        <v>564</v>
      </c>
      <c r="F96" s="118"/>
      <c r="G96" s="35"/>
      <c r="H96" s="35"/>
      <c r="I96" s="35">
        <v>45687</v>
      </c>
      <c r="J96" s="2"/>
      <c r="K96" s="2"/>
      <c r="L96" s="5"/>
      <c r="M96" s="102"/>
      <c r="N96" s="40">
        <v>40</v>
      </c>
      <c r="O96" s="40"/>
      <c r="P96" s="6">
        <v>59</v>
      </c>
      <c r="Q96" s="6">
        <v>43</v>
      </c>
      <c r="R96" s="70">
        <f t="shared" si="16"/>
        <v>11.2</v>
      </c>
      <c r="S96" s="2"/>
      <c r="T96" s="144" t="s">
        <v>577</v>
      </c>
      <c r="U96" s="151">
        <v>43</v>
      </c>
      <c r="V96" s="150"/>
      <c r="W96" s="149">
        <f t="shared" si="14"/>
        <v>11.2</v>
      </c>
      <c r="X96" s="149">
        <f t="shared" si="15"/>
        <v>0</v>
      </c>
    </row>
    <row r="97" spans="1:24">
      <c r="A97" s="110">
        <v>271</v>
      </c>
      <c r="B97" s="110">
        <v>1000026</v>
      </c>
      <c r="C97" s="137" t="s">
        <v>418</v>
      </c>
      <c r="D97" s="110" t="s">
        <v>559</v>
      </c>
      <c r="E97" s="110" t="s">
        <v>560</v>
      </c>
      <c r="F97" s="110">
        <v>6</v>
      </c>
      <c r="G97" s="35"/>
      <c r="H97" s="35"/>
      <c r="I97" s="35">
        <v>45737</v>
      </c>
      <c r="J97" s="2"/>
      <c r="K97" s="2"/>
      <c r="L97" s="5">
        <v>32.17</v>
      </c>
      <c r="M97" s="102"/>
      <c r="N97" s="40">
        <v>90</v>
      </c>
      <c r="O97" s="40"/>
      <c r="P97" s="6">
        <v>150</v>
      </c>
      <c r="Q97" s="6">
        <v>43</v>
      </c>
      <c r="R97" s="70">
        <f t="shared" si="16"/>
        <v>74.899999999999991</v>
      </c>
      <c r="S97" s="2"/>
      <c r="T97" s="144"/>
      <c r="U97" s="118"/>
      <c r="V97" s="149">
        <f t="shared" ref="V97:V102" si="17">F97*$V$3</f>
        <v>12</v>
      </c>
      <c r="W97" s="149">
        <f t="shared" si="14"/>
        <v>96.6</v>
      </c>
      <c r="X97" s="149">
        <f t="shared" si="15"/>
        <v>-21.700000000000003</v>
      </c>
    </row>
    <row r="98" spans="1:24">
      <c r="A98" s="110">
        <v>85</v>
      </c>
      <c r="B98" s="110">
        <v>1000356</v>
      </c>
      <c r="C98" s="137" t="s">
        <v>410</v>
      </c>
      <c r="D98" s="110" t="s">
        <v>559</v>
      </c>
      <c r="E98" s="110" t="s">
        <v>560</v>
      </c>
      <c r="F98" s="110">
        <v>1</v>
      </c>
      <c r="G98" s="35"/>
      <c r="H98" s="35"/>
      <c r="I98" s="35">
        <v>45613</v>
      </c>
      <c r="J98" s="2"/>
      <c r="K98" s="2"/>
      <c r="L98" s="5">
        <v>10</v>
      </c>
      <c r="M98" s="102">
        <f>-(14*14+14/30*13)</f>
        <v>-202.06666666666666</v>
      </c>
      <c r="N98" s="40">
        <v>15</v>
      </c>
      <c r="O98" s="40"/>
      <c r="P98" s="6">
        <v>30</v>
      </c>
      <c r="Q98" s="6">
        <v>10</v>
      </c>
      <c r="R98" s="59">
        <f t="shared" si="16"/>
        <v>14</v>
      </c>
      <c r="S98" s="2"/>
      <c r="T98" s="144"/>
      <c r="U98" s="118"/>
      <c r="V98" s="149">
        <f t="shared" si="17"/>
        <v>2</v>
      </c>
      <c r="W98" s="149">
        <f t="shared" si="14"/>
        <v>19.599999999999998</v>
      </c>
      <c r="X98" s="149">
        <f t="shared" si="15"/>
        <v>-5.5999999999999979</v>
      </c>
    </row>
    <row r="99" spans="1:24">
      <c r="A99" s="120" t="s">
        <v>595</v>
      </c>
      <c r="B99" s="110">
        <v>1000437</v>
      </c>
      <c r="C99" s="137" t="s">
        <v>375</v>
      </c>
      <c r="D99" s="110" t="s">
        <v>561</v>
      </c>
      <c r="E99" s="110" t="s">
        <v>566</v>
      </c>
      <c r="F99" s="110">
        <v>2</v>
      </c>
      <c r="G99" s="35"/>
      <c r="H99" s="35">
        <v>45471</v>
      </c>
      <c r="I99" s="35">
        <v>45471</v>
      </c>
      <c r="J99" s="10" t="s">
        <v>161</v>
      </c>
      <c r="K99" s="12">
        <v>10</v>
      </c>
      <c r="L99" s="5">
        <f>10+12.01</f>
        <v>22.009999999999998</v>
      </c>
      <c r="M99" s="102"/>
      <c r="N99" s="40">
        <v>30</v>
      </c>
      <c r="O99" s="40"/>
      <c r="P99" s="6">
        <v>90</v>
      </c>
      <c r="Q99" s="6">
        <f>38.5+1+18</f>
        <v>57.5</v>
      </c>
      <c r="R99" s="59">
        <f t="shared" si="16"/>
        <v>22.75</v>
      </c>
      <c r="S99" s="2"/>
      <c r="T99" s="144"/>
      <c r="U99" s="110">
        <v>36.5</v>
      </c>
      <c r="V99" s="149">
        <f t="shared" si="17"/>
        <v>4</v>
      </c>
      <c r="W99" s="149">
        <f t="shared" si="14"/>
        <v>37.65</v>
      </c>
      <c r="X99" s="149">
        <f t="shared" si="15"/>
        <v>-14.899999999999999</v>
      </c>
    </row>
    <row r="100" spans="1:24">
      <c r="A100" s="110">
        <v>441</v>
      </c>
      <c r="B100" s="110">
        <v>1000002</v>
      </c>
      <c r="C100" s="137" t="s">
        <v>255</v>
      </c>
      <c r="D100" s="110" t="s">
        <v>561</v>
      </c>
      <c r="E100" s="110" t="s">
        <v>566</v>
      </c>
      <c r="F100" s="110">
        <v>2</v>
      </c>
      <c r="G100" s="35">
        <v>44691</v>
      </c>
      <c r="H100" s="35">
        <v>44994</v>
      </c>
      <c r="I100" s="4">
        <v>44994</v>
      </c>
      <c r="J100" s="2"/>
      <c r="K100" s="2"/>
      <c r="L100" s="5">
        <v>11.03</v>
      </c>
      <c r="M100" s="102">
        <f>25*14</f>
        <v>350</v>
      </c>
      <c r="N100" s="40">
        <f>30+50</f>
        <v>80</v>
      </c>
      <c r="O100" s="40"/>
      <c r="P100" s="6">
        <v>109</v>
      </c>
      <c r="Q100" s="6">
        <f>38+7</f>
        <v>45</v>
      </c>
      <c r="R100" s="59">
        <f t="shared" si="16"/>
        <v>44.8</v>
      </c>
      <c r="S100" s="2"/>
      <c r="T100" s="144"/>
      <c r="U100" s="110">
        <v>36.5</v>
      </c>
      <c r="V100" s="149">
        <f t="shared" si="17"/>
        <v>4</v>
      </c>
      <c r="W100" s="149">
        <f t="shared" si="14"/>
        <v>47.949999999999996</v>
      </c>
      <c r="X100" s="149">
        <f t="shared" si="15"/>
        <v>-3.1499999999999986</v>
      </c>
    </row>
    <row r="101" spans="1:24">
      <c r="A101" s="110" t="s">
        <v>593</v>
      </c>
      <c r="B101" s="110">
        <v>1000116</v>
      </c>
      <c r="C101" s="137" t="s">
        <v>513</v>
      </c>
      <c r="D101" s="110" t="s">
        <v>559</v>
      </c>
      <c r="E101" s="110" t="s">
        <v>560</v>
      </c>
      <c r="F101" s="110">
        <v>4</v>
      </c>
      <c r="G101" s="35"/>
      <c r="H101" s="35"/>
      <c r="I101" s="130"/>
      <c r="J101" s="2"/>
      <c r="K101" s="2"/>
      <c r="L101" s="5"/>
      <c r="M101" s="102"/>
      <c r="N101" s="40"/>
      <c r="O101" s="40"/>
      <c r="P101" s="6">
        <v>80</v>
      </c>
      <c r="Q101" s="18">
        <v>25</v>
      </c>
      <c r="R101" s="59">
        <f t="shared" si="16"/>
        <v>38.5</v>
      </c>
      <c r="S101" s="2"/>
      <c r="T101" s="144"/>
      <c r="U101" s="118"/>
      <c r="V101" s="149">
        <f t="shared" si="17"/>
        <v>8</v>
      </c>
      <c r="W101" s="149">
        <f t="shared" si="14"/>
        <v>50.4</v>
      </c>
      <c r="X101" s="149">
        <f t="shared" si="15"/>
        <v>-11.899999999999999</v>
      </c>
    </row>
    <row r="102" spans="1:24">
      <c r="A102" s="110">
        <v>527</v>
      </c>
      <c r="B102" s="120" t="s">
        <v>594</v>
      </c>
      <c r="C102" s="10" t="s">
        <v>500</v>
      </c>
      <c r="D102" s="110" t="s">
        <v>561</v>
      </c>
      <c r="E102" s="110" t="s">
        <v>573</v>
      </c>
      <c r="F102" s="110">
        <v>1</v>
      </c>
      <c r="G102" s="35"/>
      <c r="H102" s="35"/>
      <c r="I102" s="35">
        <v>45874</v>
      </c>
      <c r="J102" s="2"/>
      <c r="K102" s="2"/>
      <c r="L102" s="5">
        <v>14.54</v>
      </c>
      <c r="M102" s="102"/>
      <c r="N102" s="40"/>
      <c r="O102" s="40"/>
      <c r="P102" s="6">
        <v>75</v>
      </c>
      <c r="Q102" s="6">
        <f>38+3.5</f>
        <v>41.5</v>
      </c>
      <c r="R102" s="59">
        <f t="shared" si="16"/>
        <v>23.45</v>
      </c>
      <c r="S102" s="2"/>
      <c r="T102" s="144" t="s">
        <v>574</v>
      </c>
      <c r="U102" s="151">
        <v>36.5</v>
      </c>
      <c r="V102" s="149">
        <f t="shared" si="17"/>
        <v>2</v>
      </c>
      <c r="W102" s="149">
        <f t="shared" si="14"/>
        <v>25.549999999999997</v>
      </c>
      <c r="X102" s="149">
        <f t="shared" si="15"/>
        <v>-2.0999999999999979</v>
      </c>
    </row>
    <row r="103" spans="1:24">
      <c r="A103" s="110"/>
      <c r="B103" s="110"/>
      <c r="C103" s="137" t="s">
        <v>470</v>
      </c>
      <c r="D103" s="110" t="s">
        <v>555</v>
      </c>
      <c r="E103" s="110" t="s">
        <v>564</v>
      </c>
      <c r="F103" s="118"/>
      <c r="G103" s="35"/>
      <c r="H103" s="35"/>
      <c r="I103" s="35">
        <v>45875</v>
      </c>
      <c r="J103" s="2"/>
      <c r="K103" s="2"/>
      <c r="L103" s="5">
        <v>12.44</v>
      </c>
      <c r="M103" s="102"/>
      <c r="N103" s="40"/>
      <c r="O103" s="40"/>
      <c r="P103" s="6">
        <v>59</v>
      </c>
      <c r="Q103" s="6">
        <v>38</v>
      </c>
      <c r="R103" s="59">
        <f t="shared" si="16"/>
        <v>14.7</v>
      </c>
      <c r="S103" s="2"/>
      <c r="T103" s="144"/>
      <c r="U103" s="110">
        <v>36.5</v>
      </c>
      <c r="V103" s="150"/>
      <c r="W103" s="149">
        <f t="shared" si="14"/>
        <v>15.749999999999998</v>
      </c>
      <c r="X103" s="149">
        <f t="shared" si="15"/>
        <v>-1.0499999999999989</v>
      </c>
    </row>
    <row r="104" spans="1:24">
      <c r="A104" s="110">
        <v>333</v>
      </c>
      <c r="B104" s="110">
        <v>1000280</v>
      </c>
      <c r="C104" s="137" t="s">
        <v>425</v>
      </c>
      <c r="D104" s="110" t="s">
        <v>561</v>
      </c>
      <c r="E104" s="110" t="s">
        <v>596</v>
      </c>
      <c r="F104" s="110">
        <v>5</v>
      </c>
      <c r="G104" s="35"/>
      <c r="H104" s="35"/>
      <c r="I104" s="35">
        <v>45765</v>
      </c>
      <c r="J104" s="2"/>
      <c r="K104" s="2"/>
      <c r="L104" s="5">
        <v>14.54</v>
      </c>
      <c r="M104" s="102"/>
      <c r="N104" s="40"/>
      <c r="O104" s="40"/>
      <c r="P104" s="6">
        <v>220</v>
      </c>
      <c r="Q104" s="18">
        <v>99</v>
      </c>
      <c r="R104" s="70">
        <f t="shared" si="16"/>
        <v>84.699999999999989</v>
      </c>
      <c r="S104" s="2"/>
      <c r="T104" s="144" t="s">
        <v>597</v>
      </c>
      <c r="U104" s="110">
        <f>36.5*2</f>
        <v>73</v>
      </c>
      <c r="V104" s="149">
        <f>F104*$V$3</f>
        <v>10</v>
      </c>
      <c r="W104" s="149">
        <f t="shared" si="14"/>
        <v>95.899999999999991</v>
      </c>
      <c r="X104" s="149">
        <f t="shared" si="15"/>
        <v>-11.200000000000003</v>
      </c>
    </row>
    <row r="105" spans="1:24">
      <c r="A105" s="110">
        <v>262</v>
      </c>
      <c r="B105" s="110">
        <v>1000144</v>
      </c>
      <c r="C105" s="137" t="s">
        <v>293</v>
      </c>
      <c r="D105" s="110" t="s">
        <v>555</v>
      </c>
      <c r="E105" s="110" t="s">
        <v>557</v>
      </c>
      <c r="F105" s="118"/>
      <c r="G105" s="35">
        <v>45086</v>
      </c>
      <c r="H105" s="35">
        <v>45089</v>
      </c>
      <c r="I105" s="4">
        <v>45103</v>
      </c>
      <c r="J105" s="2"/>
      <c r="K105" s="2"/>
      <c r="L105" s="5">
        <v>11.03</v>
      </c>
      <c r="M105" s="102">
        <f>21/30*14</f>
        <v>9.7999999999999989</v>
      </c>
      <c r="N105" s="40"/>
      <c r="O105" s="40"/>
      <c r="P105" s="6">
        <v>50</v>
      </c>
      <c r="Q105" s="18">
        <v>21</v>
      </c>
      <c r="R105" s="70">
        <f t="shared" si="16"/>
        <v>20.299999999999997</v>
      </c>
      <c r="S105" s="2"/>
      <c r="T105" s="144" t="s">
        <v>572</v>
      </c>
      <c r="U105" s="110">
        <v>27</v>
      </c>
      <c r="V105" s="150"/>
      <c r="W105" s="149">
        <f t="shared" si="14"/>
        <v>16.099999999999998</v>
      </c>
      <c r="X105" s="149">
        <f t="shared" si="15"/>
        <v>4.1999999999999993</v>
      </c>
    </row>
    <row r="106" spans="1:24">
      <c r="A106" s="110">
        <v>262</v>
      </c>
      <c r="B106" s="110">
        <v>1000144</v>
      </c>
      <c r="C106" s="137" t="s">
        <v>606</v>
      </c>
      <c r="D106" s="110" t="s">
        <v>555</v>
      </c>
      <c r="E106" s="110" t="s">
        <v>557</v>
      </c>
      <c r="F106" s="118"/>
      <c r="G106" s="4">
        <v>43482</v>
      </c>
      <c r="H106" s="4"/>
      <c r="I106" s="4">
        <v>43542</v>
      </c>
      <c r="J106" s="49"/>
      <c r="K106" s="49"/>
      <c r="L106" s="5">
        <v>11.1</v>
      </c>
      <c r="M106" s="102">
        <f>25*2</f>
        <v>50</v>
      </c>
      <c r="N106" s="5"/>
      <c r="O106" s="5"/>
      <c r="P106" s="12">
        <v>50</v>
      </c>
      <c r="Q106" s="62">
        <v>26</v>
      </c>
      <c r="R106" s="18">
        <f t="shared" si="16"/>
        <v>16.799999999999997</v>
      </c>
      <c r="S106" s="2"/>
      <c r="T106" s="144" t="s">
        <v>572</v>
      </c>
      <c r="U106" s="110">
        <v>27</v>
      </c>
      <c r="V106" s="150"/>
      <c r="W106" s="149">
        <f t="shared" si="14"/>
        <v>16.099999999999998</v>
      </c>
      <c r="X106" s="149">
        <f t="shared" si="15"/>
        <v>0.69999999999999929</v>
      </c>
    </row>
    <row r="107" spans="1:24">
      <c r="A107" s="110"/>
      <c r="B107" s="110"/>
      <c r="C107" s="137" t="s">
        <v>83</v>
      </c>
      <c r="D107" s="110" t="s">
        <v>555</v>
      </c>
      <c r="E107" s="110" t="s">
        <v>564</v>
      </c>
      <c r="F107" s="118"/>
      <c r="G107" s="35"/>
      <c r="H107" s="35">
        <v>45482</v>
      </c>
      <c r="I107" s="35">
        <v>45482</v>
      </c>
      <c r="J107" s="2"/>
      <c r="K107" s="2"/>
      <c r="L107" s="5"/>
      <c r="M107" s="102"/>
      <c r="N107" s="40"/>
      <c r="O107" s="40"/>
      <c r="P107" s="6">
        <v>69</v>
      </c>
      <c r="Q107" s="6">
        <v>43</v>
      </c>
      <c r="R107" s="70">
        <f t="shared" si="16"/>
        <v>18.2</v>
      </c>
      <c r="S107" s="2"/>
      <c r="T107" s="144" t="s">
        <v>577</v>
      </c>
      <c r="U107" s="151">
        <v>43</v>
      </c>
      <c r="V107" s="150"/>
      <c r="W107" s="149">
        <f t="shared" si="14"/>
        <v>18.2</v>
      </c>
      <c r="X107" s="149">
        <f t="shared" si="15"/>
        <v>0</v>
      </c>
    </row>
    <row r="108" spans="1:24">
      <c r="A108" s="110">
        <v>215</v>
      </c>
      <c r="B108" s="110">
        <v>1000387</v>
      </c>
      <c r="C108" s="137" t="s">
        <v>333</v>
      </c>
      <c r="D108" s="110" t="s">
        <v>559</v>
      </c>
      <c r="E108" s="110" t="s">
        <v>560</v>
      </c>
      <c r="F108" s="110">
        <v>8</v>
      </c>
      <c r="G108" s="35"/>
      <c r="H108" s="35"/>
      <c r="I108" s="4">
        <v>45336</v>
      </c>
      <c r="J108" s="2"/>
      <c r="K108" s="2"/>
      <c r="L108" s="5">
        <v>10</v>
      </c>
      <c r="M108" s="102">
        <v>0</v>
      </c>
      <c r="N108" s="40">
        <v>120</v>
      </c>
      <c r="O108" s="40"/>
      <c r="P108" s="6">
        <v>160</v>
      </c>
      <c r="Q108" s="6">
        <v>72</v>
      </c>
      <c r="R108" s="59">
        <f t="shared" si="16"/>
        <v>61.599999999999994</v>
      </c>
      <c r="S108" s="2"/>
      <c r="T108" s="144"/>
      <c r="U108" s="118"/>
      <c r="V108" s="149">
        <f>F108*$V$3</f>
        <v>16</v>
      </c>
      <c r="W108" s="149">
        <f t="shared" si="14"/>
        <v>100.8</v>
      </c>
      <c r="X108" s="149">
        <f t="shared" si="15"/>
        <v>-39.200000000000003</v>
      </c>
    </row>
    <row r="109" spans="1:24">
      <c r="A109" s="110"/>
      <c r="B109" s="110"/>
      <c r="C109" s="137" t="s">
        <v>469</v>
      </c>
      <c r="D109" s="110" t="s">
        <v>555</v>
      </c>
      <c r="E109" s="110" t="s">
        <v>564</v>
      </c>
      <c r="F109" s="118"/>
      <c r="G109" s="35"/>
      <c r="H109" s="35"/>
      <c r="I109" s="35">
        <v>45875</v>
      </c>
      <c r="J109" s="2"/>
      <c r="K109" s="2"/>
      <c r="L109" s="5">
        <v>12.44</v>
      </c>
      <c r="M109" s="102"/>
      <c r="N109" s="40"/>
      <c r="O109" s="40"/>
      <c r="P109" s="6">
        <v>59</v>
      </c>
      <c r="Q109" s="6">
        <v>38</v>
      </c>
      <c r="R109" s="59">
        <f t="shared" si="16"/>
        <v>14.7</v>
      </c>
      <c r="S109" s="2"/>
      <c r="T109" s="144"/>
      <c r="U109" s="110">
        <v>36.5</v>
      </c>
      <c r="V109" s="150"/>
      <c r="W109" s="149">
        <f t="shared" si="14"/>
        <v>15.749999999999998</v>
      </c>
      <c r="X109" s="149">
        <f t="shared" si="15"/>
        <v>-1.0499999999999989</v>
      </c>
    </row>
    <row r="110" spans="1:24">
      <c r="A110" s="110">
        <v>325</v>
      </c>
      <c r="B110" s="110">
        <v>1000183</v>
      </c>
      <c r="C110" s="137" t="s">
        <v>90</v>
      </c>
      <c r="D110" s="110" t="s">
        <v>561</v>
      </c>
      <c r="E110" s="110" t="s">
        <v>566</v>
      </c>
      <c r="F110" s="110">
        <v>2</v>
      </c>
      <c r="G110" s="35" t="s">
        <v>96</v>
      </c>
      <c r="H110" s="35"/>
      <c r="I110" s="35">
        <v>44015</v>
      </c>
      <c r="J110" s="133" t="s">
        <v>160</v>
      </c>
      <c r="K110" s="133">
        <v>12.5</v>
      </c>
      <c r="L110" s="5">
        <v>11.29</v>
      </c>
      <c r="M110" s="102">
        <f>100</f>
        <v>100</v>
      </c>
      <c r="N110" s="5"/>
      <c r="O110" s="5"/>
      <c r="P110" s="12">
        <v>164</v>
      </c>
      <c r="Q110" s="61">
        <f>25+11+22</f>
        <v>58</v>
      </c>
      <c r="R110" s="12">
        <f>12.5+(92.5-Q110)*0.7</f>
        <v>36.65</v>
      </c>
      <c r="S110" s="2"/>
      <c r="T110" s="145"/>
      <c r="U110" s="110">
        <v>36.5</v>
      </c>
      <c r="V110" s="149">
        <f>F110*$V$3</f>
        <v>4</v>
      </c>
      <c r="W110" s="149">
        <f t="shared" si="14"/>
        <v>90.199999999999989</v>
      </c>
      <c r="X110" s="149">
        <f t="shared" si="15"/>
        <v>-53.54999999999999</v>
      </c>
    </row>
    <row r="111" spans="1:24">
      <c r="A111" s="110">
        <v>388</v>
      </c>
      <c r="B111" s="110">
        <v>1000206</v>
      </c>
      <c r="C111" s="137" t="s">
        <v>140</v>
      </c>
      <c r="D111" s="110" t="s">
        <v>561</v>
      </c>
      <c r="E111" s="110" t="s">
        <v>566</v>
      </c>
      <c r="F111" s="110">
        <v>2</v>
      </c>
      <c r="G111" s="35">
        <v>44449</v>
      </c>
      <c r="H111" s="35"/>
      <c r="I111" s="35">
        <v>44482</v>
      </c>
      <c r="J111" s="133" t="s">
        <v>160</v>
      </c>
      <c r="K111" s="133">
        <v>10</v>
      </c>
      <c r="L111" s="5">
        <v>13.4</v>
      </c>
      <c r="M111" s="102">
        <f>60/30*33</f>
        <v>66</v>
      </c>
      <c r="N111" s="5">
        <v>80</v>
      </c>
      <c r="O111" s="5"/>
      <c r="P111" s="6">
        <v>120</v>
      </c>
      <c r="Q111" s="61">
        <v>61</v>
      </c>
      <c r="R111" s="6">
        <f>(10+49*0.7)</f>
        <v>44.3</v>
      </c>
      <c r="S111" s="2"/>
      <c r="T111" s="144"/>
      <c r="U111" s="110">
        <v>36.5</v>
      </c>
      <c r="V111" s="149">
        <f>F111*$V$3</f>
        <v>4</v>
      </c>
      <c r="W111" s="149">
        <f t="shared" si="14"/>
        <v>58.65</v>
      </c>
      <c r="X111" s="149">
        <f t="shared" si="15"/>
        <v>-14.350000000000001</v>
      </c>
    </row>
    <row r="112" spans="1:24">
      <c r="A112" s="110">
        <v>146</v>
      </c>
      <c r="B112" s="110">
        <v>1000182</v>
      </c>
      <c r="C112" s="137" t="s">
        <v>97</v>
      </c>
      <c r="D112" s="110" t="s">
        <v>561</v>
      </c>
      <c r="E112" s="110" t="s">
        <v>566</v>
      </c>
      <c r="F112" s="110">
        <v>2</v>
      </c>
      <c r="G112" s="35">
        <v>43990</v>
      </c>
      <c r="H112" s="35"/>
      <c r="I112" s="35">
        <v>44036</v>
      </c>
      <c r="J112" s="49"/>
      <c r="K112" s="49"/>
      <c r="L112" s="5">
        <v>8.75</v>
      </c>
      <c r="M112" s="102">
        <f>56/30*46</f>
        <v>85.866666666666674</v>
      </c>
      <c r="N112" s="5"/>
      <c r="O112" s="5"/>
      <c r="P112" s="6">
        <v>129</v>
      </c>
      <c r="Q112" s="61">
        <v>52.5</v>
      </c>
      <c r="R112" s="6">
        <f>(P112-Q112)*0.7</f>
        <v>53.55</v>
      </c>
      <c r="S112" s="2"/>
      <c r="T112" s="144"/>
      <c r="U112" s="110">
        <v>36.5</v>
      </c>
      <c r="V112" s="149">
        <f>F112*$V$3</f>
        <v>4</v>
      </c>
      <c r="W112" s="149">
        <f t="shared" si="14"/>
        <v>61.949999999999996</v>
      </c>
      <c r="X112" s="149">
        <f t="shared" si="15"/>
        <v>-8.3999999999999986</v>
      </c>
    </row>
    <row r="113" spans="1:24">
      <c r="A113" s="110"/>
      <c r="B113" s="110"/>
      <c r="C113" s="137" t="s">
        <v>358</v>
      </c>
      <c r="D113" s="110" t="s">
        <v>555</v>
      </c>
      <c r="E113" s="110" t="s">
        <v>564</v>
      </c>
      <c r="F113" s="118"/>
      <c r="G113" s="35"/>
      <c r="H113" s="35">
        <v>45468</v>
      </c>
      <c r="I113" s="4">
        <v>45468</v>
      </c>
      <c r="J113" s="2"/>
      <c r="K113" s="2"/>
      <c r="L113" s="5">
        <v>12.01</v>
      </c>
      <c r="M113" s="102"/>
      <c r="N113" s="40"/>
      <c r="O113" s="40"/>
      <c r="P113" s="6">
        <v>59</v>
      </c>
      <c r="Q113" s="6">
        <v>38</v>
      </c>
      <c r="R113" s="59">
        <f>(P113-Q113)*0.7</f>
        <v>14.7</v>
      </c>
      <c r="S113" s="2"/>
      <c r="T113" s="144"/>
      <c r="U113" s="110">
        <v>36.5</v>
      </c>
      <c r="V113" s="150"/>
      <c r="W113" s="149">
        <f t="shared" si="14"/>
        <v>15.749999999999998</v>
      </c>
      <c r="X113" s="149">
        <f t="shared" si="15"/>
        <v>-1.0499999999999989</v>
      </c>
    </row>
    <row r="114" spans="1:24">
      <c r="A114" s="110"/>
      <c r="B114" s="110"/>
      <c r="C114" s="137" t="s">
        <v>383</v>
      </c>
      <c r="D114" s="110" t="s">
        <v>555</v>
      </c>
      <c r="E114" s="110" t="s">
        <v>564</v>
      </c>
      <c r="F114" s="118"/>
      <c r="G114" s="35"/>
      <c r="H114" s="35">
        <v>45434</v>
      </c>
      <c r="I114" s="35">
        <v>45513</v>
      </c>
      <c r="J114" s="2"/>
      <c r="K114" s="2"/>
      <c r="L114" s="5">
        <v>14.58</v>
      </c>
      <c r="M114" s="102"/>
      <c r="N114" s="40"/>
      <c r="O114" s="40"/>
      <c r="P114" s="6">
        <v>69</v>
      </c>
      <c r="Q114" s="6">
        <v>43</v>
      </c>
      <c r="R114" s="59">
        <f>(P114-Q114)*0.7</f>
        <v>18.2</v>
      </c>
      <c r="S114" s="2"/>
      <c r="T114" s="144" t="s">
        <v>577</v>
      </c>
      <c r="U114" s="151">
        <v>43</v>
      </c>
      <c r="V114" s="150"/>
      <c r="W114" s="149">
        <f t="shared" ref="W114:W145" si="18">((P114-(V114+U114+K114))*$W$3)+K114</f>
        <v>18.2</v>
      </c>
      <c r="X114" s="149">
        <f t="shared" ref="X114:X145" si="19">R114-W114</f>
        <v>0</v>
      </c>
    </row>
    <row r="115" spans="1:24">
      <c r="A115" s="110">
        <v>507</v>
      </c>
      <c r="B115" s="110">
        <v>1000414</v>
      </c>
      <c r="C115" s="137" t="s">
        <v>384</v>
      </c>
      <c r="D115" s="110" t="s">
        <v>559</v>
      </c>
      <c r="E115" s="110" t="s">
        <v>600</v>
      </c>
      <c r="F115" s="110">
        <v>4</v>
      </c>
      <c r="G115" s="35"/>
      <c r="H115" s="35"/>
      <c r="I115" s="35">
        <v>45513</v>
      </c>
      <c r="J115" s="2"/>
      <c r="K115" s="2"/>
      <c r="L115" s="5"/>
      <c r="M115" s="102"/>
      <c r="N115" s="40">
        <v>60</v>
      </c>
      <c r="O115" s="40"/>
      <c r="P115" s="6">
        <v>115</v>
      </c>
      <c r="Q115" s="6">
        <v>37</v>
      </c>
      <c r="R115" s="59">
        <f>(P115-Q115)*0.7</f>
        <v>54.599999999999994</v>
      </c>
      <c r="S115" s="2"/>
      <c r="T115" s="144"/>
      <c r="U115" s="118"/>
      <c r="V115" s="149">
        <f>F115*$V$3</f>
        <v>8</v>
      </c>
      <c r="W115" s="149">
        <f t="shared" si="18"/>
        <v>74.899999999999991</v>
      </c>
      <c r="X115" s="149">
        <f t="shared" si="19"/>
        <v>-20.299999999999997</v>
      </c>
    </row>
    <row r="116" spans="1:24">
      <c r="A116" s="110">
        <v>438</v>
      </c>
      <c r="B116" s="110">
        <v>1000240</v>
      </c>
      <c r="C116" s="137" t="s">
        <v>171</v>
      </c>
      <c r="D116" s="110" t="s">
        <v>561</v>
      </c>
      <c r="E116" s="110" t="s">
        <v>601</v>
      </c>
      <c r="F116" s="110">
        <v>3</v>
      </c>
      <c r="G116" s="4">
        <v>44648</v>
      </c>
      <c r="H116" s="4"/>
      <c r="I116" s="4">
        <v>44734</v>
      </c>
      <c r="J116" s="2"/>
      <c r="K116" s="49"/>
      <c r="L116" s="5">
        <v>13.72</v>
      </c>
      <c r="M116" s="102">
        <f>56/30*84</f>
        <v>156.80000000000001</v>
      </c>
      <c r="N116" s="5">
        <v>95</v>
      </c>
      <c r="O116" s="5"/>
      <c r="P116" s="6">
        <v>140</v>
      </c>
      <c r="Q116" s="61">
        <v>56</v>
      </c>
      <c r="R116" s="6">
        <f>(140-56)*0.7</f>
        <v>58.8</v>
      </c>
      <c r="S116" s="2"/>
      <c r="T116" s="144" t="s">
        <v>572</v>
      </c>
      <c r="U116" s="110">
        <v>27</v>
      </c>
      <c r="V116" s="160">
        <v>2</v>
      </c>
      <c r="W116" s="149">
        <f t="shared" si="18"/>
        <v>77.699999999999989</v>
      </c>
      <c r="X116" s="149">
        <f t="shared" si="19"/>
        <v>-18.899999999999991</v>
      </c>
    </row>
    <row r="117" spans="1:24">
      <c r="A117" s="110"/>
      <c r="B117" s="110"/>
      <c r="C117" s="137" t="s">
        <v>524</v>
      </c>
      <c r="D117" s="110" t="s">
        <v>559</v>
      </c>
      <c r="E117" s="110" t="s">
        <v>560</v>
      </c>
      <c r="F117" s="110">
        <v>4</v>
      </c>
      <c r="G117" s="35"/>
      <c r="H117" s="35"/>
      <c r="I117" s="35">
        <v>46010</v>
      </c>
      <c r="J117" s="2"/>
      <c r="K117" s="2"/>
      <c r="L117" s="5">
        <v>31.19</v>
      </c>
      <c r="M117" s="102"/>
      <c r="N117" s="40"/>
      <c r="O117" s="40"/>
      <c r="P117" s="6">
        <v>60</v>
      </c>
      <c r="Q117" s="6">
        <v>25</v>
      </c>
      <c r="R117" s="59">
        <f>(P117-Q117)*0.7</f>
        <v>24.5</v>
      </c>
      <c r="S117" s="2"/>
      <c r="T117" s="144"/>
      <c r="U117" s="118"/>
      <c r="V117" s="149">
        <f>F117*$V$3</f>
        <v>8</v>
      </c>
      <c r="W117" s="149">
        <f t="shared" si="18"/>
        <v>36.4</v>
      </c>
      <c r="X117" s="149">
        <f t="shared" si="19"/>
        <v>-11.899999999999999</v>
      </c>
    </row>
    <row r="118" spans="1:24">
      <c r="A118" s="110">
        <v>262</v>
      </c>
      <c r="B118" s="110">
        <v>1000132</v>
      </c>
      <c r="C118" s="137" t="s">
        <v>279</v>
      </c>
      <c r="D118" s="110" t="s">
        <v>555</v>
      </c>
      <c r="E118" s="110" t="s">
        <v>557</v>
      </c>
      <c r="F118" s="118"/>
      <c r="G118" s="35">
        <v>45065</v>
      </c>
      <c r="H118" s="35">
        <v>45070</v>
      </c>
      <c r="I118" s="35">
        <v>45070</v>
      </c>
      <c r="J118" s="2"/>
      <c r="K118" s="2"/>
      <c r="L118" s="5">
        <v>11.48</v>
      </c>
      <c r="M118" s="102">
        <f>21/30*5</f>
        <v>3.5</v>
      </c>
      <c r="N118" s="40"/>
      <c r="O118" s="40"/>
      <c r="P118" s="6">
        <f>50</f>
        <v>50</v>
      </c>
      <c r="Q118" s="6">
        <v>21</v>
      </c>
      <c r="R118" s="59">
        <f>(50-21)*0.7</f>
        <v>20.299999999999997</v>
      </c>
      <c r="S118" s="2"/>
      <c r="T118" s="144" t="s">
        <v>572</v>
      </c>
      <c r="U118" s="110">
        <v>27</v>
      </c>
      <c r="V118" s="150"/>
      <c r="W118" s="149">
        <f t="shared" si="18"/>
        <v>16.099999999999998</v>
      </c>
      <c r="X118" s="149">
        <f t="shared" si="19"/>
        <v>4.1999999999999993</v>
      </c>
    </row>
    <row r="119" spans="1:24">
      <c r="A119" s="110">
        <v>262</v>
      </c>
      <c r="B119" s="110">
        <v>1000132</v>
      </c>
      <c r="C119" s="137" t="s">
        <v>278</v>
      </c>
      <c r="D119" s="110" t="s">
        <v>555</v>
      </c>
      <c r="E119" s="110" t="s">
        <v>557</v>
      </c>
      <c r="F119" s="118"/>
      <c r="G119" s="35">
        <v>44973</v>
      </c>
      <c r="H119" s="35">
        <v>45070</v>
      </c>
      <c r="I119" s="35">
        <v>45070</v>
      </c>
      <c r="J119" s="2"/>
      <c r="K119" s="2"/>
      <c r="L119" s="5">
        <v>11.48</v>
      </c>
      <c r="M119" s="102">
        <f>21/30*98</f>
        <v>68.599999999999994</v>
      </c>
      <c r="N119" s="40"/>
      <c r="O119" s="40"/>
      <c r="P119" s="6">
        <v>50</v>
      </c>
      <c r="Q119" s="6">
        <v>21</v>
      </c>
      <c r="R119" s="59">
        <f>(50-21)*0.7</f>
        <v>20.299999999999997</v>
      </c>
      <c r="S119" s="2"/>
      <c r="T119" s="144" t="s">
        <v>572</v>
      </c>
      <c r="U119" s="110">
        <v>27</v>
      </c>
      <c r="V119" s="150"/>
      <c r="W119" s="149">
        <f t="shared" si="18"/>
        <v>16.099999999999998</v>
      </c>
      <c r="X119" s="149">
        <f t="shared" si="19"/>
        <v>4.1999999999999993</v>
      </c>
    </row>
    <row r="120" spans="1:24">
      <c r="A120" s="110"/>
      <c r="B120" s="110"/>
      <c r="C120" s="137" t="s">
        <v>325</v>
      </c>
      <c r="D120" s="110" t="s">
        <v>555</v>
      </c>
      <c r="E120" s="110" t="s">
        <v>564</v>
      </c>
      <c r="F120" s="118"/>
      <c r="G120" s="35"/>
      <c r="H120" s="35">
        <v>45223</v>
      </c>
      <c r="I120" s="4">
        <v>45239</v>
      </c>
      <c r="J120" s="2"/>
      <c r="K120" s="2"/>
      <c r="L120" s="5">
        <v>40</v>
      </c>
      <c r="M120" s="102">
        <f>43/30*15</f>
        <v>21.5</v>
      </c>
      <c r="N120" s="40"/>
      <c r="O120" s="40"/>
      <c r="P120" s="6">
        <v>69</v>
      </c>
      <c r="Q120" s="6">
        <v>43</v>
      </c>
      <c r="R120" s="94">
        <f>(69-43)*0.7</f>
        <v>18.2</v>
      </c>
      <c r="S120" s="10" t="s">
        <v>329</v>
      </c>
      <c r="T120" s="144" t="s">
        <v>577</v>
      </c>
      <c r="U120" s="151">
        <v>43</v>
      </c>
      <c r="V120" s="150"/>
      <c r="W120" s="149">
        <f t="shared" si="18"/>
        <v>18.2</v>
      </c>
      <c r="X120" s="149">
        <f t="shared" si="19"/>
        <v>0</v>
      </c>
    </row>
    <row r="121" spans="1:24">
      <c r="A121" s="110">
        <v>237</v>
      </c>
      <c r="B121" s="110">
        <v>1000119</v>
      </c>
      <c r="C121" s="137" t="s">
        <v>37</v>
      </c>
      <c r="D121" s="110" t="s">
        <v>561</v>
      </c>
      <c r="E121" s="110" t="s">
        <v>566</v>
      </c>
      <c r="F121" s="110">
        <v>4</v>
      </c>
      <c r="G121" s="4">
        <v>42891</v>
      </c>
      <c r="H121" s="4"/>
      <c r="I121" s="4">
        <v>42915</v>
      </c>
      <c r="J121" s="49"/>
      <c r="K121" s="49"/>
      <c r="L121" s="5">
        <v>6.83</v>
      </c>
      <c r="M121" s="102">
        <f>24/30*24</f>
        <v>19.200000000000003</v>
      </c>
      <c r="N121" s="5"/>
      <c r="O121" s="5"/>
      <c r="P121" s="6">
        <f>69+70</f>
        <v>139</v>
      </c>
      <c r="Q121" s="61">
        <f>38+7+18</f>
        <v>63</v>
      </c>
      <c r="R121" s="6">
        <f>(P121-Q121)*0.7</f>
        <v>53.199999999999996</v>
      </c>
      <c r="S121" s="2"/>
      <c r="T121" s="144"/>
      <c r="U121" s="110">
        <v>36.5</v>
      </c>
      <c r="V121" s="149">
        <f>F121*$V$3</f>
        <v>8</v>
      </c>
      <c r="W121" s="149">
        <f t="shared" si="18"/>
        <v>66.149999999999991</v>
      </c>
      <c r="X121" s="149">
        <f t="shared" si="19"/>
        <v>-12.949999999999996</v>
      </c>
    </row>
    <row r="122" spans="1:24">
      <c r="A122" s="110">
        <v>457</v>
      </c>
      <c r="B122" s="110">
        <v>1000231</v>
      </c>
      <c r="C122" s="137" t="s">
        <v>157</v>
      </c>
      <c r="D122" s="110" t="s">
        <v>559</v>
      </c>
      <c r="E122" s="110" t="s">
        <v>560</v>
      </c>
      <c r="F122" s="110">
        <v>6</v>
      </c>
      <c r="G122" s="4">
        <v>44627</v>
      </c>
      <c r="H122" s="4"/>
      <c r="I122" s="4">
        <v>44627</v>
      </c>
      <c r="J122" s="134" t="s">
        <v>161</v>
      </c>
      <c r="K122" s="133">
        <v>10</v>
      </c>
      <c r="L122" s="5">
        <v>15.46</v>
      </c>
      <c r="M122" s="102">
        <v>0</v>
      </c>
      <c r="N122" s="5">
        <v>0</v>
      </c>
      <c r="O122" s="5"/>
      <c r="P122" s="12">
        <v>140</v>
      </c>
      <c r="Q122" s="61">
        <v>44</v>
      </c>
      <c r="R122" s="6">
        <f>10+(46)*0.7</f>
        <v>42.199999999999996</v>
      </c>
      <c r="S122" s="2"/>
      <c r="T122" s="144"/>
      <c r="U122" s="118"/>
      <c r="V122" s="149">
        <f>F122*$V$3</f>
        <v>12</v>
      </c>
      <c r="W122" s="149">
        <f t="shared" si="18"/>
        <v>92.6</v>
      </c>
      <c r="X122" s="149">
        <f t="shared" si="19"/>
        <v>-50.4</v>
      </c>
    </row>
    <row r="123" spans="1:24">
      <c r="A123" s="110"/>
      <c r="B123" s="110"/>
      <c r="C123" s="137" t="s">
        <v>441</v>
      </c>
      <c r="D123" s="110" t="s">
        <v>555</v>
      </c>
      <c r="E123" s="110" t="s">
        <v>564</v>
      </c>
      <c r="F123" s="118"/>
      <c r="G123" s="35"/>
      <c r="H123" s="35"/>
      <c r="I123" s="35">
        <v>45853</v>
      </c>
      <c r="J123" s="2"/>
      <c r="K123" s="2"/>
      <c r="L123" s="5">
        <v>12.44</v>
      </c>
      <c r="M123" s="102"/>
      <c r="N123" s="40"/>
      <c r="O123" s="40"/>
      <c r="P123" s="6">
        <v>59</v>
      </c>
      <c r="Q123" s="6">
        <v>38</v>
      </c>
      <c r="R123" s="59">
        <f>(P123-Q123)*0.7</f>
        <v>14.7</v>
      </c>
      <c r="S123" s="2"/>
      <c r="T123" s="144"/>
      <c r="U123" s="110">
        <v>36.5</v>
      </c>
      <c r="V123" s="150"/>
      <c r="W123" s="149">
        <f t="shared" si="18"/>
        <v>15.749999999999998</v>
      </c>
      <c r="X123" s="149">
        <f t="shared" si="19"/>
        <v>-1.0499999999999989</v>
      </c>
    </row>
    <row r="124" spans="1:24">
      <c r="A124" s="110">
        <v>474</v>
      </c>
      <c r="B124" s="110">
        <v>1000283</v>
      </c>
      <c r="C124" s="137" t="s">
        <v>228</v>
      </c>
      <c r="D124" s="110" t="s">
        <v>559</v>
      </c>
      <c r="E124" s="110" t="s">
        <v>560</v>
      </c>
      <c r="F124" s="110">
        <v>6</v>
      </c>
      <c r="G124" s="4">
        <v>44957</v>
      </c>
      <c r="H124" s="4">
        <v>44957</v>
      </c>
      <c r="I124" s="35">
        <v>44977</v>
      </c>
      <c r="J124" s="2"/>
      <c r="K124" s="49"/>
      <c r="L124" s="5">
        <v>20.61</v>
      </c>
      <c r="M124" s="102">
        <f>66/30*20</f>
        <v>44</v>
      </c>
      <c r="N124" s="5">
        <v>90</v>
      </c>
      <c r="O124" s="5"/>
      <c r="P124" s="6">
        <v>155</v>
      </c>
      <c r="Q124" s="65">
        <v>54</v>
      </c>
      <c r="R124" s="59">
        <f>(P124-Q124)*0.7</f>
        <v>70.699999999999989</v>
      </c>
      <c r="S124" s="2"/>
      <c r="T124" s="144"/>
      <c r="U124" s="118"/>
      <c r="V124" s="149">
        <f>F124*$V$3</f>
        <v>12</v>
      </c>
      <c r="W124" s="149">
        <f t="shared" si="18"/>
        <v>100.1</v>
      </c>
      <c r="X124" s="149">
        <f t="shared" si="19"/>
        <v>-29.400000000000006</v>
      </c>
    </row>
    <row r="125" spans="1:24">
      <c r="A125" s="110">
        <v>292</v>
      </c>
      <c r="B125" s="110">
        <v>1000171</v>
      </c>
      <c r="C125" s="137" t="s">
        <v>81</v>
      </c>
      <c r="D125" s="110" t="s">
        <v>561</v>
      </c>
      <c r="E125" s="110" t="s">
        <v>566</v>
      </c>
      <c r="F125" s="110">
        <v>2</v>
      </c>
      <c r="G125" s="11">
        <v>45444</v>
      </c>
      <c r="H125" s="11"/>
      <c r="I125" s="11">
        <v>45408</v>
      </c>
      <c r="J125" s="49"/>
      <c r="K125" s="49"/>
      <c r="L125" s="5"/>
      <c r="M125" s="102">
        <f>43/30*34</f>
        <v>48.733333333333334</v>
      </c>
      <c r="N125" s="5"/>
      <c r="O125" s="5"/>
      <c r="P125" s="6">
        <v>129</v>
      </c>
      <c r="Q125" s="65">
        <v>61</v>
      </c>
      <c r="R125" s="59">
        <f>(P125-Q125)*0.7</f>
        <v>47.599999999999994</v>
      </c>
      <c r="S125" s="2"/>
      <c r="T125" s="144"/>
      <c r="U125" s="110">
        <v>36.5</v>
      </c>
      <c r="V125" s="149">
        <f>F125*$V$3</f>
        <v>4</v>
      </c>
      <c r="W125" s="149">
        <f t="shared" si="18"/>
        <v>61.949999999999996</v>
      </c>
      <c r="X125" s="149">
        <f t="shared" si="19"/>
        <v>-14.350000000000001</v>
      </c>
    </row>
    <row r="126" spans="1:24">
      <c r="A126" s="110">
        <v>277</v>
      </c>
      <c r="B126" s="110">
        <v>1000184</v>
      </c>
      <c r="C126" s="137" t="s">
        <v>95</v>
      </c>
      <c r="D126" s="110" t="s">
        <v>555</v>
      </c>
      <c r="E126" s="110" t="s">
        <v>603</v>
      </c>
      <c r="F126" s="118"/>
      <c r="G126" s="35">
        <v>44028</v>
      </c>
      <c r="H126" s="35"/>
      <c r="I126" s="35">
        <v>44040</v>
      </c>
      <c r="J126" s="49"/>
      <c r="K126" s="49"/>
      <c r="L126" s="5">
        <v>8.75</v>
      </c>
      <c r="M126" s="102">
        <f>41/30*12</f>
        <v>16.399999999999999</v>
      </c>
      <c r="N126" s="5"/>
      <c r="O126" s="5"/>
      <c r="P126" s="6">
        <v>60</v>
      </c>
      <c r="Q126" s="61">
        <v>41</v>
      </c>
      <c r="R126" s="6">
        <f>(P126-Q126)*0.7</f>
        <v>13.299999999999999</v>
      </c>
      <c r="S126" s="2"/>
      <c r="T126" s="144" t="s">
        <v>574</v>
      </c>
      <c r="U126" s="151">
        <v>36.5</v>
      </c>
      <c r="V126" s="150"/>
      <c r="W126" s="149">
        <f t="shared" si="18"/>
        <v>16.45</v>
      </c>
      <c r="X126" s="149">
        <f t="shared" si="19"/>
        <v>-3.1500000000000004</v>
      </c>
    </row>
    <row r="127" spans="1:24">
      <c r="A127" s="110">
        <v>364</v>
      </c>
      <c r="B127" s="110">
        <v>1000273</v>
      </c>
      <c r="C127" s="137" t="s">
        <v>602</v>
      </c>
      <c r="D127" s="110" t="s">
        <v>559</v>
      </c>
      <c r="E127" s="110" t="s">
        <v>560</v>
      </c>
      <c r="F127" s="110">
        <v>3</v>
      </c>
      <c r="G127" s="4">
        <v>44159</v>
      </c>
      <c r="H127" s="4"/>
      <c r="I127" s="4">
        <v>44187</v>
      </c>
      <c r="J127" s="2"/>
      <c r="K127" s="2"/>
      <c r="L127" s="5">
        <v>13.93</v>
      </c>
      <c r="M127" s="102">
        <f>36/30*28</f>
        <v>33.6</v>
      </c>
      <c r="N127" s="5"/>
      <c r="O127" s="5"/>
      <c r="P127" s="12">
        <v>75</v>
      </c>
      <c r="Q127" s="61">
        <f>25+11</f>
        <v>36</v>
      </c>
      <c r="R127" s="12">
        <f>(P127-Q127)*0.7</f>
        <v>27.299999999999997</v>
      </c>
      <c r="S127" s="2"/>
      <c r="T127" s="144"/>
      <c r="U127" s="118"/>
      <c r="V127" s="149">
        <f>F127*$V$3</f>
        <v>6</v>
      </c>
      <c r="W127" s="149">
        <f t="shared" si="18"/>
        <v>48.3</v>
      </c>
      <c r="X127" s="149">
        <f t="shared" si="19"/>
        <v>-21</v>
      </c>
    </row>
    <row r="128" spans="1:24">
      <c r="A128" s="110">
        <v>386</v>
      </c>
      <c r="B128" s="110">
        <v>1000204</v>
      </c>
      <c r="C128" s="137" t="s">
        <v>113</v>
      </c>
      <c r="D128" s="110" t="s">
        <v>561</v>
      </c>
      <c r="E128" s="110" t="s">
        <v>573</v>
      </c>
      <c r="F128" s="110">
        <v>4</v>
      </c>
      <c r="G128" s="4">
        <v>44245</v>
      </c>
      <c r="H128" s="4"/>
      <c r="I128" s="4">
        <v>44271</v>
      </c>
      <c r="J128" s="133" t="s">
        <v>160</v>
      </c>
      <c r="K128" s="133">
        <v>15</v>
      </c>
      <c r="L128" s="5">
        <v>26.76</v>
      </c>
      <c r="M128" s="102">
        <f>67/30*28</f>
        <v>62.533333333333331</v>
      </c>
      <c r="N128" s="5"/>
      <c r="O128" s="5"/>
      <c r="P128" s="12">
        <v>141</v>
      </c>
      <c r="Q128" s="61">
        <v>67</v>
      </c>
      <c r="R128" s="6">
        <f>(15+0.7*58)</f>
        <v>55.599999999999994</v>
      </c>
      <c r="S128" s="2"/>
      <c r="T128" s="144" t="s">
        <v>574</v>
      </c>
      <c r="U128" s="151">
        <v>36.5</v>
      </c>
      <c r="V128" s="149">
        <f>F128*$V$3</f>
        <v>8</v>
      </c>
      <c r="W128" s="149">
        <f t="shared" si="18"/>
        <v>72.05</v>
      </c>
      <c r="X128" s="149">
        <f t="shared" si="19"/>
        <v>-16.450000000000003</v>
      </c>
    </row>
    <row r="129" spans="1:24">
      <c r="A129" s="110">
        <v>148</v>
      </c>
      <c r="B129" s="110">
        <v>1000155</v>
      </c>
      <c r="C129" s="137" t="s">
        <v>65</v>
      </c>
      <c r="D129" s="110" t="s">
        <v>561</v>
      </c>
      <c r="E129" s="110" t="s">
        <v>566</v>
      </c>
      <c r="F129" s="110">
        <v>1</v>
      </c>
      <c r="G129" s="4">
        <v>43622</v>
      </c>
      <c r="H129" s="4"/>
      <c r="I129" s="4">
        <v>43650</v>
      </c>
      <c r="J129" s="49"/>
      <c r="K129" s="49"/>
      <c r="L129" s="5">
        <v>10.86</v>
      </c>
      <c r="M129" s="102"/>
      <c r="N129" s="5"/>
      <c r="O129" s="5"/>
      <c r="P129" s="6">
        <v>120</v>
      </c>
      <c r="Q129" s="61">
        <v>60</v>
      </c>
      <c r="R129" s="6">
        <f>(P129-Q129)*0.7</f>
        <v>42</v>
      </c>
      <c r="S129" s="2"/>
      <c r="T129" s="144"/>
      <c r="U129" s="110">
        <v>36.5</v>
      </c>
      <c r="V129" s="149">
        <f>F129*$V$3</f>
        <v>2</v>
      </c>
      <c r="W129" s="149">
        <f t="shared" si="18"/>
        <v>57.05</v>
      </c>
      <c r="X129" s="149">
        <f t="shared" si="19"/>
        <v>-15.049999999999997</v>
      </c>
    </row>
    <row r="130" spans="1:24">
      <c r="A130" s="110"/>
      <c r="B130" s="110"/>
      <c r="C130" s="137" t="s">
        <v>528</v>
      </c>
      <c r="D130" s="110" t="s">
        <v>555</v>
      </c>
      <c r="E130" s="110" t="s">
        <v>564</v>
      </c>
      <c r="F130" s="118"/>
      <c r="G130" s="35"/>
      <c r="H130" s="35"/>
      <c r="I130" s="35">
        <v>42332</v>
      </c>
      <c r="J130" s="2"/>
      <c r="K130" s="2"/>
      <c r="L130" s="5">
        <v>13.54</v>
      </c>
      <c r="M130" s="102"/>
      <c r="N130" s="40"/>
      <c r="O130" s="40"/>
      <c r="P130" s="6">
        <v>69</v>
      </c>
      <c r="Q130" s="6">
        <v>36.5</v>
      </c>
      <c r="R130" s="59">
        <f>(P130-Q130)*0.7</f>
        <v>22.75</v>
      </c>
      <c r="S130" s="2"/>
      <c r="T130" s="144"/>
      <c r="U130" s="110">
        <v>36.5</v>
      </c>
      <c r="V130" s="150"/>
      <c r="W130" s="149">
        <f t="shared" si="18"/>
        <v>22.75</v>
      </c>
      <c r="X130" s="149">
        <f t="shared" si="19"/>
        <v>0</v>
      </c>
    </row>
    <row r="131" spans="1:24">
      <c r="A131" s="110"/>
      <c r="B131" s="110"/>
      <c r="C131" s="137" t="s">
        <v>89</v>
      </c>
      <c r="D131" s="110" t="s">
        <v>559</v>
      </c>
      <c r="E131" s="110" t="s">
        <v>560</v>
      </c>
      <c r="F131" s="110">
        <v>1</v>
      </c>
      <c r="G131" s="35">
        <v>43908</v>
      </c>
      <c r="H131" s="35"/>
      <c r="I131" s="35">
        <v>43893</v>
      </c>
      <c r="J131" s="49"/>
      <c r="K131" s="49"/>
      <c r="L131" s="5">
        <v>9.6</v>
      </c>
      <c r="M131" s="102">
        <v>5.5</v>
      </c>
      <c r="N131" s="5"/>
      <c r="O131" s="5"/>
      <c r="P131" s="6">
        <v>25</v>
      </c>
      <c r="Q131" s="61">
        <v>11</v>
      </c>
      <c r="R131" s="6">
        <f>(P131-Q131)*0.7</f>
        <v>9.7999999999999989</v>
      </c>
      <c r="S131" s="2"/>
      <c r="T131" s="144"/>
      <c r="U131" s="118"/>
      <c r="V131" s="149">
        <f>F131*$V$3</f>
        <v>2</v>
      </c>
      <c r="W131" s="149">
        <f t="shared" si="18"/>
        <v>16.099999999999998</v>
      </c>
      <c r="X131" s="149">
        <f t="shared" si="19"/>
        <v>-6.2999999999999989</v>
      </c>
    </row>
    <row r="132" spans="1:24">
      <c r="A132" s="110">
        <v>541</v>
      </c>
      <c r="B132" s="110">
        <v>1000223</v>
      </c>
      <c r="C132" s="137" t="s">
        <v>139</v>
      </c>
      <c r="D132" s="110" t="s">
        <v>561</v>
      </c>
      <c r="E132" s="110" t="s">
        <v>566</v>
      </c>
      <c r="F132" s="110">
        <v>3</v>
      </c>
      <c r="G132" s="35">
        <v>44492</v>
      </c>
      <c r="H132" s="35"/>
      <c r="I132" s="35">
        <v>44539</v>
      </c>
      <c r="J132" s="2"/>
      <c r="K132" s="49"/>
      <c r="L132" s="5">
        <v>16.350000000000001</v>
      </c>
      <c r="M132" s="102">
        <f>71/30*46</f>
        <v>108.86666666666667</v>
      </c>
      <c r="N132" s="5">
        <v>95</v>
      </c>
      <c r="O132" s="5"/>
      <c r="P132" s="6">
        <v>140</v>
      </c>
      <c r="Q132" s="61">
        <v>71</v>
      </c>
      <c r="R132" s="12">
        <f>(140-71)*0.7</f>
        <v>48.3</v>
      </c>
      <c r="S132" s="10" t="s">
        <v>329</v>
      </c>
      <c r="T132" s="144"/>
      <c r="U132" s="110">
        <v>36.5</v>
      </c>
      <c r="V132" s="149">
        <f>F132*$V$3</f>
        <v>6</v>
      </c>
      <c r="W132" s="149">
        <f t="shared" si="18"/>
        <v>68.25</v>
      </c>
      <c r="X132" s="149">
        <f t="shared" si="19"/>
        <v>-19.950000000000003</v>
      </c>
    </row>
    <row r="133" spans="1:24">
      <c r="A133" s="110"/>
      <c r="B133" s="110"/>
      <c r="C133" s="137" t="s">
        <v>582</v>
      </c>
      <c r="D133" s="110" t="s">
        <v>559</v>
      </c>
      <c r="E133" s="110" t="s">
        <v>560</v>
      </c>
      <c r="F133" s="110">
        <v>3</v>
      </c>
      <c r="G133" s="35"/>
      <c r="H133" s="35"/>
      <c r="I133" s="35">
        <v>45730</v>
      </c>
      <c r="J133" s="2"/>
      <c r="K133" s="2"/>
      <c r="L133" s="5">
        <v>15.34</v>
      </c>
      <c r="M133" s="102"/>
      <c r="N133" s="40"/>
      <c r="O133" s="40"/>
      <c r="P133" s="6">
        <v>80</v>
      </c>
      <c r="Q133" s="6">
        <v>28</v>
      </c>
      <c r="R133" s="59">
        <f>(P133-Q133)*0.7</f>
        <v>36.4</v>
      </c>
      <c r="S133" s="2"/>
      <c r="T133" s="144"/>
      <c r="U133" s="118"/>
      <c r="V133" s="149">
        <f>F133*$V$3</f>
        <v>6</v>
      </c>
      <c r="W133" s="149">
        <f t="shared" si="18"/>
        <v>51.8</v>
      </c>
      <c r="X133" s="149">
        <f t="shared" si="19"/>
        <v>-15.399999999999999</v>
      </c>
    </row>
    <row r="134" spans="1:24">
      <c r="A134" s="110"/>
      <c r="B134" s="110"/>
      <c r="C134" s="137" t="s">
        <v>108</v>
      </c>
      <c r="D134" s="110" t="s">
        <v>555</v>
      </c>
      <c r="E134" s="110" t="s">
        <v>564</v>
      </c>
      <c r="F134" s="118"/>
      <c r="G134" s="35"/>
      <c r="H134" s="35">
        <v>45231</v>
      </c>
      <c r="I134" s="4">
        <v>45231</v>
      </c>
      <c r="J134" s="2"/>
      <c r="K134" s="2"/>
      <c r="L134" s="5"/>
      <c r="M134" s="102"/>
      <c r="N134" s="40"/>
      <c r="O134" s="40"/>
      <c r="P134" s="6">
        <v>69</v>
      </c>
      <c r="Q134" s="6">
        <v>43</v>
      </c>
      <c r="R134" s="59">
        <f>(P134-Q134)*0.7</f>
        <v>18.2</v>
      </c>
      <c r="S134" s="2"/>
      <c r="T134" s="144" t="s">
        <v>577</v>
      </c>
      <c r="U134" s="151">
        <v>43</v>
      </c>
      <c r="V134" s="150"/>
      <c r="W134" s="149">
        <f t="shared" si="18"/>
        <v>18.2</v>
      </c>
      <c r="X134" s="149">
        <f t="shared" si="19"/>
        <v>0</v>
      </c>
    </row>
    <row r="135" spans="1:24">
      <c r="A135" s="110">
        <v>335</v>
      </c>
      <c r="B135" s="110">
        <v>1000200</v>
      </c>
      <c r="C135" s="137" t="s">
        <v>108</v>
      </c>
      <c r="D135" s="110" t="s">
        <v>561</v>
      </c>
      <c r="E135" s="110" t="s">
        <v>566</v>
      </c>
      <c r="F135" s="110">
        <v>6</v>
      </c>
      <c r="G135" s="4">
        <v>44185</v>
      </c>
      <c r="H135" s="4"/>
      <c r="I135" s="4">
        <v>44242</v>
      </c>
      <c r="J135" s="133" t="s">
        <v>160</v>
      </c>
      <c r="K135" s="133">
        <v>20</v>
      </c>
      <c r="L135" s="5">
        <v>26.48</v>
      </c>
      <c r="M135" s="102">
        <f>50/30*55</f>
        <v>91.666666666666671</v>
      </c>
      <c r="N135" s="5">
        <v>160</v>
      </c>
      <c r="O135" s="5"/>
      <c r="P135" s="12">
        <v>199</v>
      </c>
      <c r="Q135" s="61">
        <v>34</v>
      </c>
      <c r="R135" s="5">
        <f>(20+(110-34)*0.7)</f>
        <v>73.199999999999989</v>
      </c>
      <c r="S135" s="49" t="s">
        <v>145</v>
      </c>
      <c r="T135" s="144"/>
      <c r="U135" s="110">
        <v>36.5</v>
      </c>
      <c r="V135" s="149">
        <f>F135*$V$3</f>
        <v>12</v>
      </c>
      <c r="W135" s="149">
        <f t="shared" si="18"/>
        <v>111.35</v>
      </c>
      <c r="X135" s="149">
        <f t="shared" si="19"/>
        <v>-38.150000000000006</v>
      </c>
    </row>
    <row r="136" spans="1:24">
      <c r="A136" s="110"/>
      <c r="B136" s="110"/>
      <c r="C136" s="137" t="s">
        <v>24</v>
      </c>
      <c r="D136" s="110" t="s">
        <v>559</v>
      </c>
      <c r="E136" s="110" t="s">
        <v>560</v>
      </c>
      <c r="F136" s="110">
        <v>2</v>
      </c>
      <c r="G136" s="4">
        <v>42530</v>
      </c>
      <c r="H136" s="4"/>
      <c r="I136" s="4">
        <v>42579</v>
      </c>
      <c r="J136" s="49"/>
      <c r="K136" s="49"/>
      <c r="L136" s="5">
        <f>8.5+6.9</f>
        <v>15.4</v>
      </c>
      <c r="M136" s="102">
        <f>25*52/30</f>
        <v>43.333333333333336</v>
      </c>
      <c r="N136" s="5"/>
      <c r="O136" s="5"/>
      <c r="P136" s="6">
        <v>30</v>
      </c>
      <c r="Q136" s="62">
        <v>7</v>
      </c>
      <c r="R136" s="18">
        <f>(P136-Q136)*0.7</f>
        <v>16.099999999999998</v>
      </c>
      <c r="S136" s="2"/>
      <c r="T136" s="144"/>
      <c r="U136" s="118"/>
      <c r="V136" s="149">
        <f>F136*$V$3</f>
        <v>4</v>
      </c>
      <c r="W136" s="149">
        <f t="shared" si="18"/>
        <v>18.2</v>
      </c>
      <c r="X136" s="149">
        <f t="shared" si="19"/>
        <v>-2.1000000000000014</v>
      </c>
    </row>
    <row r="137" spans="1:24">
      <c r="A137" s="110">
        <v>480</v>
      </c>
      <c r="B137" s="110">
        <v>1000246</v>
      </c>
      <c r="C137" s="137" t="s">
        <v>174</v>
      </c>
      <c r="D137" s="110" t="s">
        <v>561</v>
      </c>
      <c r="E137" s="110" t="s">
        <v>573</v>
      </c>
      <c r="F137" s="110">
        <v>3</v>
      </c>
      <c r="G137" s="4">
        <v>44715</v>
      </c>
      <c r="H137" s="4"/>
      <c r="I137" s="4">
        <v>44820</v>
      </c>
      <c r="J137" s="134" t="s">
        <v>161</v>
      </c>
      <c r="K137" s="133">
        <v>15</v>
      </c>
      <c r="L137" s="5">
        <v>14.6</v>
      </c>
      <c r="M137" s="102">
        <f>56/30*103</f>
        <v>192.26666666666668</v>
      </c>
      <c r="N137" s="5">
        <v>50</v>
      </c>
      <c r="O137" s="5"/>
      <c r="P137" s="12">
        <v>140</v>
      </c>
      <c r="Q137" s="62">
        <v>56</v>
      </c>
      <c r="R137" s="84">
        <f>15+(115-56)*0.7</f>
        <v>56.3</v>
      </c>
      <c r="S137" s="2"/>
      <c r="T137" s="144" t="s">
        <v>574</v>
      </c>
      <c r="U137" s="151">
        <v>36.5</v>
      </c>
      <c r="V137" s="149">
        <f>F137*$V$3</f>
        <v>6</v>
      </c>
      <c r="W137" s="149">
        <f t="shared" si="18"/>
        <v>72.75</v>
      </c>
      <c r="X137" s="149">
        <f t="shared" si="19"/>
        <v>-16.450000000000003</v>
      </c>
    </row>
    <row r="138" spans="1:24">
      <c r="A138" s="110"/>
      <c r="B138" s="110"/>
      <c r="C138" s="137" t="s">
        <v>408</v>
      </c>
      <c r="D138" s="110" t="s">
        <v>555</v>
      </c>
      <c r="E138" s="110" t="s">
        <v>564</v>
      </c>
      <c r="F138" s="118"/>
      <c r="G138" s="35"/>
      <c r="H138" s="35"/>
      <c r="I138" s="130"/>
      <c r="J138" s="2"/>
      <c r="K138" s="2"/>
      <c r="L138" s="5"/>
      <c r="M138" s="102"/>
      <c r="N138" s="40"/>
      <c r="O138" s="40"/>
      <c r="P138" s="6">
        <v>69</v>
      </c>
      <c r="Q138" s="18">
        <v>38</v>
      </c>
      <c r="R138" s="70">
        <f>(P138-Q138)*0.7</f>
        <v>21.7</v>
      </c>
      <c r="S138" s="2"/>
      <c r="T138" s="144"/>
      <c r="U138" s="110">
        <v>36.5</v>
      </c>
      <c r="V138" s="150"/>
      <c r="W138" s="149">
        <f t="shared" si="18"/>
        <v>22.75</v>
      </c>
      <c r="X138" s="149">
        <f t="shared" si="19"/>
        <v>-1.0500000000000007</v>
      </c>
    </row>
    <row r="139" spans="1:24">
      <c r="A139" s="110"/>
      <c r="B139" s="110"/>
      <c r="C139" s="137" t="s">
        <v>406</v>
      </c>
      <c r="D139" s="110" t="s">
        <v>555</v>
      </c>
      <c r="E139" s="110" t="s">
        <v>564</v>
      </c>
      <c r="F139" s="118"/>
      <c r="G139" s="35">
        <v>45624</v>
      </c>
      <c r="H139" s="35">
        <v>45631</v>
      </c>
      <c r="I139" s="35">
        <v>45631</v>
      </c>
      <c r="J139" s="2"/>
      <c r="K139" s="2"/>
      <c r="L139" s="5">
        <v>13.98</v>
      </c>
      <c r="M139" s="102"/>
      <c r="N139" s="40">
        <v>15</v>
      </c>
      <c r="O139" s="40"/>
      <c r="P139" s="6">
        <v>59</v>
      </c>
      <c r="Q139" s="18">
        <v>38</v>
      </c>
      <c r="R139" s="70">
        <f>(P139-Q139)*0.7</f>
        <v>14.7</v>
      </c>
      <c r="S139" s="2"/>
      <c r="T139" s="144"/>
      <c r="U139" s="110">
        <v>36.5</v>
      </c>
      <c r="V139" s="150"/>
      <c r="W139" s="149">
        <f t="shared" si="18"/>
        <v>15.749999999999998</v>
      </c>
      <c r="X139" s="149">
        <f t="shared" si="19"/>
        <v>-1.0499999999999989</v>
      </c>
    </row>
    <row r="140" spans="1:24">
      <c r="A140" s="110">
        <v>59</v>
      </c>
      <c r="B140" s="110">
        <v>1000346</v>
      </c>
      <c r="C140" s="137" t="s">
        <v>295</v>
      </c>
      <c r="D140" s="110" t="s">
        <v>559</v>
      </c>
      <c r="E140" s="110" t="s">
        <v>560</v>
      </c>
      <c r="F140" s="110">
        <v>3</v>
      </c>
      <c r="G140" s="35">
        <v>45228</v>
      </c>
      <c r="H140" s="35">
        <v>45203</v>
      </c>
      <c r="I140" s="35">
        <v>45203</v>
      </c>
      <c r="J140" s="2"/>
      <c r="K140" s="2"/>
      <c r="L140" s="5">
        <v>13.31</v>
      </c>
      <c r="M140" s="102">
        <f>27/30*5</f>
        <v>4.5</v>
      </c>
      <c r="N140" s="40">
        <v>45</v>
      </c>
      <c r="O140" s="40"/>
      <c r="P140" s="6">
        <v>80</v>
      </c>
      <c r="Q140" s="18">
        <v>27</v>
      </c>
      <c r="R140" s="70">
        <f>(P140-Q140)*0.7</f>
        <v>37.099999999999994</v>
      </c>
      <c r="S140" s="2"/>
      <c r="T140" s="144"/>
      <c r="U140" s="118"/>
      <c r="V140" s="149">
        <f>F140*$V$3</f>
        <v>6</v>
      </c>
      <c r="W140" s="149">
        <f t="shared" si="18"/>
        <v>51.8</v>
      </c>
      <c r="X140" s="149">
        <f t="shared" si="19"/>
        <v>-14.700000000000003</v>
      </c>
    </row>
    <row r="141" spans="1:24">
      <c r="A141" s="110">
        <v>491</v>
      </c>
      <c r="B141" s="110">
        <v>1000466</v>
      </c>
      <c r="C141" s="137" t="s">
        <v>389</v>
      </c>
      <c r="D141" s="110" t="s">
        <v>559</v>
      </c>
      <c r="E141" s="110" t="s">
        <v>560</v>
      </c>
      <c r="F141" s="110">
        <v>1</v>
      </c>
      <c r="G141" s="35"/>
      <c r="H141" s="35">
        <v>45574</v>
      </c>
      <c r="I141" s="35">
        <v>45574</v>
      </c>
      <c r="J141" s="2"/>
      <c r="K141" s="2"/>
      <c r="L141" s="5"/>
      <c r="M141" s="102"/>
      <c r="N141" s="40"/>
      <c r="O141" s="40"/>
      <c r="P141" s="6">
        <v>10</v>
      </c>
      <c r="Q141" s="6">
        <v>1</v>
      </c>
      <c r="R141" s="59">
        <f>(P141-Q141)*0.7</f>
        <v>6.3</v>
      </c>
      <c r="S141" s="2"/>
      <c r="T141" s="144" t="s">
        <v>604</v>
      </c>
      <c r="U141" s="118"/>
      <c r="V141" s="158">
        <v>1</v>
      </c>
      <c r="W141" s="149">
        <f t="shared" si="18"/>
        <v>6.3</v>
      </c>
      <c r="X141" s="149">
        <f t="shared" si="19"/>
        <v>0</v>
      </c>
    </row>
    <row r="142" spans="1:24">
      <c r="A142" s="110">
        <v>489</v>
      </c>
      <c r="B142" s="110">
        <v>1000257</v>
      </c>
      <c r="C142" s="137" t="s">
        <v>187</v>
      </c>
      <c r="D142" s="110" t="s">
        <v>559</v>
      </c>
      <c r="E142" s="110" t="s">
        <v>560</v>
      </c>
      <c r="F142" s="110">
        <v>1</v>
      </c>
      <c r="G142" s="35"/>
      <c r="H142" s="35">
        <v>44991</v>
      </c>
      <c r="I142" s="4">
        <v>44991</v>
      </c>
      <c r="J142" s="2"/>
      <c r="K142" s="2"/>
      <c r="L142" s="5">
        <v>13.31</v>
      </c>
      <c r="M142" s="102"/>
      <c r="N142" s="40">
        <v>45</v>
      </c>
      <c r="O142" s="40"/>
      <c r="P142" s="6">
        <v>80</v>
      </c>
      <c r="Q142" s="6">
        <v>27</v>
      </c>
      <c r="R142" s="59">
        <f>(P142-Q142)*0.7</f>
        <v>37.099999999999994</v>
      </c>
      <c r="S142" s="2"/>
      <c r="T142" s="144"/>
      <c r="U142" s="118"/>
      <c r="V142" s="149">
        <f>F142*$V$3</f>
        <v>2</v>
      </c>
      <c r="W142" s="149">
        <f t="shared" si="18"/>
        <v>54.599999999999994</v>
      </c>
      <c r="X142" s="149">
        <f t="shared" si="19"/>
        <v>-17.5</v>
      </c>
    </row>
    <row r="143" spans="1:24">
      <c r="A143" s="110">
        <v>489</v>
      </c>
      <c r="B143" s="110">
        <v>1000284</v>
      </c>
      <c r="C143" s="137" t="s">
        <v>227</v>
      </c>
      <c r="D143" s="110" t="s">
        <v>561</v>
      </c>
      <c r="E143" s="110" t="s">
        <v>573</v>
      </c>
      <c r="F143" s="110">
        <v>4</v>
      </c>
      <c r="G143" s="4">
        <v>44949</v>
      </c>
      <c r="H143" s="4">
        <v>44953</v>
      </c>
      <c r="I143" s="35">
        <v>44966</v>
      </c>
      <c r="J143" s="134" t="s">
        <v>160</v>
      </c>
      <c r="K143" s="133">
        <v>15</v>
      </c>
      <c r="L143" s="5">
        <v>16.38</v>
      </c>
      <c r="M143" s="102">
        <f>61.5/30*12</f>
        <v>24.599999999999998</v>
      </c>
      <c r="N143" s="5">
        <f>50+60</f>
        <v>110</v>
      </c>
      <c r="O143" s="5"/>
      <c r="P143" s="6">
        <v>160</v>
      </c>
      <c r="Q143" s="65">
        <f>32.5+7+22</f>
        <v>61.5</v>
      </c>
      <c r="R143" s="59">
        <f>15+(P143-Q143-15)*0.7</f>
        <v>73.449999999999989</v>
      </c>
      <c r="S143" s="2"/>
      <c r="T143" s="144" t="s">
        <v>574</v>
      </c>
      <c r="U143" s="151">
        <v>36.5</v>
      </c>
      <c r="V143" s="149">
        <f>F143*$V$3</f>
        <v>8</v>
      </c>
      <c r="W143" s="149">
        <f t="shared" si="18"/>
        <v>85.35</v>
      </c>
      <c r="X143" s="149">
        <f t="shared" si="19"/>
        <v>-11.900000000000006</v>
      </c>
    </row>
    <row r="144" spans="1:24">
      <c r="A144" s="110"/>
      <c r="B144" s="110"/>
      <c r="C144" s="137" t="s">
        <v>16</v>
      </c>
      <c r="D144" s="110" t="s">
        <v>561</v>
      </c>
      <c r="E144" s="110" t="s">
        <v>566</v>
      </c>
      <c r="F144" s="110">
        <v>2</v>
      </c>
      <c r="G144" s="2"/>
      <c r="H144" s="2"/>
      <c r="I144" s="4">
        <v>42396</v>
      </c>
      <c r="J144" s="49"/>
      <c r="K144" s="49"/>
      <c r="L144" s="5"/>
      <c r="M144" s="102"/>
      <c r="N144" s="5"/>
      <c r="O144" s="5"/>
      <c r="P144" s="6">
        <v>100</v>
      </c>
      <c r="Q144" s="61">
        <v>45</v>
      </c>
      <c r="R144" s="6">
        <f>(P144-Q144)*0.7</f>
        <v>38.5</v>
      </c>
      <c r="S144" s="2"/>
      <c r="T144" s="144"/>
      <c r="U144" s="110">
        <v>36.5</v>
      </c>
      <c r="V144" s="149">
        <f>F144*$V$3</f>
        <v>4</v>
      </c>
      <c r="W144" s="149">
        <f t="shared" si="18"/>
        <v>41.65</v>
      </c>
      <c r="X144" s="149">
        <f t="shared" si="19"/>
        <v>-3.1499999999999986</v>
      </c>
    </row>
    <row r="145" spans="1:24">
      <c r="P145" s="1"/>
      <c r="R145" s="1"/>
      <c r="T145" s="147"/>
      <c r="U145" s="154"/>
    </row>
    <row r="146" spans="1:24">
      <c r="P146" s="1"/>
      <c r="R146" s="1"/>
      <c r="T146" s="147"/>
      <c r="U146" s="154"/>
    </row>
    <row r="147" spans="1:24">
      <c r="P147" s="1"/>
      <c r="R147" s="1"/>
      <c r="T147" s="147"/>
      <c r="U147" s="154"/>
    </row>
    <row r="148" spans="1:24">
      <c r="P148" s="1"/>
      <c r="R148" s="1"/>
      <c r="T148" s="147"/>
      <c r="U148" s="154"/>
    </row>
    <row r="149" spans="1:24">
      <c r="P149" s="1"/>
      <c r="R149" s="1"/>
      <c r="T149" s="147"/>
      <c r="U149" s="154"/>
    </row>
    <row r="150" spans="1:24">
      <c r="P150" s="1"/>
      <c r="R150" s="1"/>
      <c r="T150" s="147"/>
      <c r="U150" s="154"/>
    </row>
    <row r="151" spans="1:24" s="66" customFormat="1">
      <c r="A151" s="155"/>
      <c r="B151" s="155"/>
      <c r="C151"/>
      <c r="D151" s="111"/>
      <c r="E151" s="111"/>
      <c r="F151" s="111"/>
      <c r="G151"/>
      <c r="H151"/>
      <c r="I151"/>
      <c r="J151"/>
      <c r="K151"/>
      <c r="L151"/>
      <c r="M151" s="105"/>
      <c r="N151"/>
      <c r="O151"/>
      <c r="P151" s="1"/>
      <c r="R151"/>
      <c r="S151"/>
      <c r="T151" s="142"/>
      <c r="U151" s="111"/>
      <c r="V151" s="155"/>
      <c r="W151" s="155"/>
      <c r="X151" s="155"/>
    </row>
    <row r="152" spans="1:24" s="66" customFormat="1">
      <c r="A152" s="155"/>
      <c r="B152" s="155"/>
      <c r="C152"/>
      <c r="D152" s="111"/>
      <c r="E152" s="111"/>
      <c r="F152" s="111"/>
      <c r="G152"/>
      <c r="H152"/>
      <c r="I152"/>
      <c r="J152"/>
      <c r="K152"/>
      <c r="L152"/>
      <c r="M152" s="105"/>
      <c r="N152"/>
      <c r="O152"/>
      <c r="P152"/>
      <c r="Q152" s="1"/>
      <c r="R152"/>
      <c r="S152"/>
      <c r="T152" s="142"/>
      <c r="U152" s="111"/>
      <c r="V152" s="155"/>
      <c r="W152" s="155"/>
      <c r="X152" s="155"/>
    </row>
  </sheetData>
  <autoFilter ref="A4:X144">
    <sortState ref="A5:X144">
      <sortCondition ref="C4:C144"/>
    </sortState>
  </autoFilter>
  <pageMargins left="0.7" right="0.7" top="0.75" bottom="0.75" header="0.3" footer="0.3"/>
  <pageSetup paperSize="9" orientation="portrait" r:id="rId1"/>
</worksheet>
</file>

<file path=xl/worksheets/sheet108.xml><?xml version="1.0" encoding="utf-8"?>
<worksheet xmlns="http://schemas.openxmlformats.org/spreadsheetml/2006/main" xmlns:r="http://schemas.openxmlformats.org/officeDocument/2006/relationships">
  <dimension ref="C1:G37"/>
  <sheetViews>
    <sheetView workbookViewId="0">
      <selection activeCell="G37" sqref="G37"/>
    </sheetView>
  </sheetViews>
  <sheetFormatPr baseColWidth="10" defaultRowHeight="15"/>
  <cols>
    <col min="2" max="2" width="23.7109375" customWidth="1"/>
    <col min="3" max="3" width="36.140625" customWidth="1"/>
    <col min="6" max="6" width="18.7109375" customWidth="1"/>
  </cols>
  <sheetData>
    <row r="1" spans="3:6">
      <c r="C1" t="s">
        <v>369</v>
      </c>
      <c r="D1">
        <f>12.63+13.73</f>
        <v>26.36</v>
      </c>
    </row>
    <row r="2" spans="3:6">
      <c r="C2" t="s">
        <v>549</v>
      </c>
      <c r="D2">
        <v>13.73</v>
      </c>
    </row>
    <row r="3" spans="3:6">
      <c r="C3" t="s">
        <v>551</v>
      </c>
      <c r="D3">
        <v>15.79</v>
      </c>
    </row>
    <row r="4" spans="3:6">
      <c r="C4" t="s">
        <v>64</v>
      </c>
      <c r="D4">
        <v>11.49</v>
      </c>
    </row>
    <row r="5" spans="3:6">
      <c r="C5" t="s">
        <v>10</v>
      </c>
      <c r="D5">
        <v>13.73</v>
      </c>
    </row>
    <row r="6" spans="3:6">
      <c r="C6" t="s">
        <v>539</v>
      </c>
      <c r="D6">
        <v>13.73</v>
      </c>
    </row>
    <row r="7" spans="3:6">
      <c r="C7" t="s">
        <v>550</v>
      </c>
      <c r="D7">
        <v>13.73</v>
      </c>
    </row>
    <row r="8" spans="3:6">
      <c r="C8" t="s">
        <v>493</v>
      </c>
      <c r="D8">
        <v>13.54</v>
      </c>
    </row>
    <row r="9" spans="3:6">
      <c r="C9" t="s">
        <v>415</v>
      </c>
      <c r="D9">
        <v>12.44</v>
      </c>
    </row>
    <row r="10" spans="3:6">
      <c r="C10" t="s">
        <v>446</v>
      </c>
      <c r="D10">
        <v>13.54</v>
      </c>
    </row>
    <row r="11" spans="3:6">
      <c r="C11" t="s">
        <v>255</v>
      </c>
      <c r="D11">
        <v>13.54</v>
      </c>
    </row>
    <row r="12" spans="3:6">
      <c r="C12" t="s">
        <v>441</v>
      </c>
      <c r="D12">
        <v>12.63</v>
      </c>
    </row>
    <row r="13" spans="3:6">
      <c r="C13" t="s">
        <v>183</v>
      </c>
      <c r="D13">
        <v>13.73</v>
      </c>
    </row>
    <row r="14" spans="3:6">
      <c r="C14" t="s">
        <v>553</v>
      </c>
      <c r="D14">
        <v>16.89</v>
      </c>
    </row>
    <row r="15" spans="3:6">
      <c r="C15" t="s">
        <v>552</v>
      </c>
      <c r="D15">
        <v>15.79</v>
      </c>
    </row>
    <row r="16" spans="3:6">
      <c r="F16" t="s">
        <v>461</v>
      </c>
    </row>
    <row r="17" spans="3:7">
      <c r="C17" t="s">
        <v>455</v>
      </c>
      <c r="D17">
        <v>24.8</v>
      </c>
      <c r="E17" s="15">
        <v>45870</v>
      </c>
      <c r="F17">
        <v>2</v>
      </c>
      <c r="G17">
        <f>D17*F17</f>
        <v>49.6</v>
      </c>
    </row>
    <row r="18" spans="3:7">
      <c r="C18" t="s">
        <v>456</v>
      </c>
      <c r="D18">
        <v>24.8</v>
      </c>
      <c r="E18" s="15">
        <v>45548</v>
      </c>
      <c r="F18">
        <v>12</v>
      </c>
      <c r="G18">
        <f t="shared" ref="G18:G36" si="0">D18*F18</f>
        <v>297.60000000000002</v>
      </c>
    </row>
    <row r="19" spans="3:7">
      <c r="C19" t="s">
        <v>457</v>
      </c>
      <c r="D19">
        <v>19.2</v>
      </c>
      <c r="E19" s="15">
        <v>45583</v>
      </c>
      <c r="F19">
        <v>9.5</v>
      </c>
      <c r="G19">
        <f t="shared" si="0"/>
        <v>182.4</v>
      </c>
    </row>
    <row r="20" spans="3:7">
      <c r="C20" t="s">
        <v>392</v>
      </c>
      <c r="D20">
        <v>71.2</v>
      </c>
      <c r="E20" s="15">
        <v>45694</v>
      </c>
      <c r="F20">
        <v>7.5</v>
      </c>
      <c r="G20">
        <f t="shared" si="0"/>
        <v>534</v>
      </c>
    </row>
    <row r="21" spans="3:7">
      <c r="C21" t="s">
        <v>406</v>
      </c>
      <c r="D21">
        <v>2.4</v>
      </c>
      <c r="E21" s="15">
        <v>45631</v>
      </c>
      <c r="F21">
        <v>9.5</v>
      </c>
      <c r="G21">
        <f t="shared" si="0"/>
        <v>22.8</v>
      </c>
    </row>
    <row r="22" spans="3:7">
      <c r="C22" t="s">
        <v>458</v>
      </c>
      <c r="D22">
        <v>24.8</v>
      </c>
      <c r="E22" s="15">
        <v>45652</v>
      </c>
      <c r="F22">
        <v>9</v>
      </c>
      <c r="G22">
        <f t="shared" si="0"/>
        <v>223.20000000000002</v>
      </c>
    </row>
    <row r="23" spans="3:7">
      <c r="C23" t="s">
        <v>459</v>
      </c>
      <c r="D23">
        <v>16.2</v>
      </c>
      <c r="E23" s="15">
        <v>45744</v>
      </c>
      <c r="F23">
        <v>6</v>
      </c>
      <c r="G23">
        <f t="shared" si="0"/>
        <v>97.199999999999989</v>
      </c>
    </row>
    <row r="24" spans="3:7">
      <c r="C24" t="s">
        <v>460</v>
      </c>
      <c r="D24">
        <f>12+100</f>
        <v>112</v>
      </c>
      <c r="E24" s="15">
        <v>45017</v>
      </c>
      <c r="F24">
        <v>12</v>
      </c>
      <c r="G24">
        <f t="shared" si="0"/>
        <v>1344</v>
      </c>
    </row>
    <row r="25" spans="3:7">
      <c r="C25" t="s">
        <v>439</v>
      </c>
      <c r="D25">
        <v>60</v>
      </c>
      <c r="E25" s="15">
        <v>45342</v>
      </c>
      <c r="F25">
        <v>12</v>
      </c>
      <c r="G25">
        <f t="shared" si="0"/>
        <v>720</v>
      </c>
    </row>
    <row r="26" spans="3:7">
      <c r="C26" t="s">
        <v>481</v>
      </c>
      <c r="D26">
        <v>12</v>
      </c>
      <c r="E26" s="15">
        <v>45017</v>
      </c>
      <c r="F26">
        <v>12</v>
      </c>
      <c r="G26">
        <f t="shared" si="0"/>
        <v>144</v>
      </c>
    </row>
    <row r="27" spans="3:7">
      <c r="C27">
        <v>972162719</v>
      </c>
      <c r="D27">
        <v>13.6</v>
      </c>
      <c r="E27" s="15">
        <v>45737</v>
      </c>
      <c r="F27">
        <v>6</v>
      </c>
      <c r="G27">
        <f t="shared" si="0"/>
        <v>81.599999999999994</v>
      </c>
    </row>
    <row r="28" spans="3:7">
      <c r="C28">
        <v>972162970</v>
      </c>
      <c r="D28">
        <v>13.6</v>
      </c>
      <c r="E28" s="15">
        <v>45737</v>
      </c>
      <c r="F28">
        <v>6</v>
      </c>
      <c r="G28">
        <f t="shared" si="0"/>
        <v>81.599999999999994</v>
      </c>
    </row>
    <row r="29" spans="3:7">
      <c r="C29">
        <v>972195426</v>
      </c>
      <c r="D29">
        <v>18.2</v>
      </c>
      <c r="E29" s="15">
        <v>45574</v>
      </c>
      <c r="F29">
        <v>12</v>
      </c>
      <c r="G29">
        <f t="shared" si="0"/>
        <v>218.39999999999998</v>
      </c>
    </row>
    <row r="30" spans="3:7">
      <c r="C30">
        <v>972195430</v>
      </c>
      <c r="D30">
        <v>18.2</v>
      </c>
      <c r="E30" s="15">
        <v>45574</v>
      </c>
      <c r="F30">
        <v>12</v>
      </c>
      <c r="G30">
        <f t="shared" si="0"/>
        <v>218.39999999999998</v>
      </c>
    </row>
    <row r="31" spans="3:7">
      <c r="C31">
        <v>972195435</v>
      </c>
      <c r="D31">
        <v>18.2</v>
      </c>
      <c r="E31" s="15">
        <v>45574</v>
      </c>
      <c r="F31">
        <v>12</v>
      </c>
      <c r="G31">
        <f t="shared" si="0"/>
        <v>218.39999999999998</v>
      </c>
    </row>
    <row r="32" spans="3:7">
      <c r="C32" t="s">
        <v>484</v>
      </c>
      <c r="D32">
        <v>18.2</v>
      </c>
      <c r="E32" s="15">
        <v>45574</v>
      </c>
      <c r="F32">
        <v>12</v>
      </c>
      <c r="G32">
        <f t="shared" si="0"/>
        <v>218.39999999999998</v>
      </c>
    </row>
    <row r="33" spans="3:7">
      <c r="C33" t="s">
        <v>485</v>
      </c>
      <c r="D33">
        <v>11.76</v>
      </c>
      <c r="E33" s="15">
        <v>45583</v>
      </c>
      <c r="F33">
        <v>11</v>
      </c>
      <c r="G33">
        <f t="shared" si="0"/>
        <v>129.35999999999999</v>
      </c>
    </row>
    <row r="34" spans="3:7">
      <c r="C34" t="s">
        <v>486</v>
      </c>
      <c r="D34">
        <v>11.76</v>
      </c>
      <c r="E34" s="15">
        <v>45583</v>
      </c>
      <c r="F34">
        <v>11</v>
      </c>
      <c r="G34">
        <f t="shared" si="0"/>
        <v>129.35999999999999</v>
      </c>
    </row>
    <row r="35" spans="3:7">
      <c r="C35" t="s">
        <v>487</v>
      </c>
      <c r="D35">
        <v>11.76</v>
      </c>
      <c r="E35" s="15">
        <v>45583</v>
      </c>
      <c r="F35">
        <v>11</v>
      </c>
      <c r="G35">
        <f t="shared" si="0"/>
        <v>129.35999999999999</v>
      </c>
    </row>
    <row r="36" spans="3:7">
      <c r="C36" t="s">
        <v>488</v>
      </c>
      <c r="D36">
        <v>11.76</v>
      </c>
      <c r="E36" s="15">
        <v>45583</v>
      </c>
      <c r="F36">
        <v>11</v>
      </c>
      <c r="G36">
        <f t="shared" si="0"/>
        <v>129.35999999999999</v>
      </c>
    </row>
    <row r="37" spans="3:7">
      <c r="G37">
        <f>SUM(G17:G36)</f>
        <v>5169.0399999999981</v>
      </c>
    </row>
  </sheetData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109</vt:i4>
      </vt:variant>
    </vt:vector>
  </HeadingPairs>
  <TitlesOfParts>
    <vt:vector size="109" baseType="lpstr">
      <vt:lpstr>JANVIER (2)</vt:lpstr>
      <vt:lpstr>JUIN</vt:lpstr>
      <vt:lpstr>JUILLET</vt:lpstr>
      <vt:lpstr>AOUT</vt:lpstr>
      <vt:lpstr>SEPTEMBRE</vt:lpstr>
      <vt:lpstr>OCTOBRE</vt:lpstr>
      <vt:lpstr>NOVEMBRE</vt:lpstr>
      <vt:lpstr>DECEMBRE</vt:lpstr>
      <vt:lpstr>JANVIER</vt:lpstr>
      <vt:lpstr>FEVRIER</vt:lpstr>
      <vt:lpstr>MARS</vt:lpstr>
      <vt:lpstr>AVRIL</vt:lpstr>
      <vt:lpstr>MAI</vt:lpstr>
      <vt:lpstr>2018JUIN</vt:lpstr>
      <vt:lpstr>2018JUILLET</vt:lpstr>
      <vt:lpstr>2018AOUT</vt:lpstr>
      <vt:lpstr>2018SEPT</vt:lpstr>
      <vt:lpstr>2018OCT</vt:lpstr>
      <vt:lpstr>2018NOV</vt:lpstr>
      <vt:lpstr>201812</vt:lpstr>
      <vt:lpstr>201901</vt:lpstr>
      <vt:lpstr>201902</vt:lpstr>
      <vt:lpstr>201903</vt:lpstr>
      <vt:lpstr>201904</vt:lpstr>
      <vt:lpstr>201905OK</vt:lpstr>
      <vt:lpstr>201906OK</vt:lpstr>
      <vt:lpstr>201907OK</vt:lpstr>
      <vt:lpstr>201908OK</vt:lpstr>
      <vt:lpstr>201909OK</vt:lpstr>
      <vt:lpstr>201910OK</vt:lpstr>
      <vt:lpstr>201911OK</vt:lpstr>
      <vt:lpstr>201912OK (2)</vt:lpstr>
      <vt:lpstr>202001OK</vt:lpstr>
      <vt:lpstr>202002OK</vt:lpstr>
      <vt:lpstr>202003OK</vt:lpstr>
      <vt:lpstr>202004OK</vt:lpstr>
      <vt:lpstr>202005OK</vt:lpstr>
      <vt:lpstr>2020006OK</vt:lpstr>
      <vt:lpstr>2020007OK</vt:lpstr>
      <vt:lpstr>2020008OK</vt:lpstr>
      <vt:lpstr>2020009OK</vt:lpstr>
      <vt:lpstr>2020010OK</vt:lpstr>
      <vt:lpstr>2020011OK</vt:lpstr>
      <vt:lpstr>2020012OK</vt:lpstr>
      <vt:lpstr>202101OK</vt:lpstr>
      <vt:lpstr>202102OK</vt:lpstr>
      <vt:lpstr>202103OK</vt:lpstr>
      <vt:lpstr>202104OK</vt:lpstr>
      <vt:lpstr>202105OK</vt:lpstr>
      <vt:lpstr>202106OK</vt:lpstr>
      <vt:lpstr>202107OK</vt:lpstr>
      <vt:lpstr>202108OK</vt:lpstr>
      <vt:lpstr>202109OK</vt:lpstr>
      <vt:lpstr>202110OK</vt:lpstr>
      <vt:lpstr>202111OK</vt:lpstr>
      <vt:lpstr>202112OK</vt:lpstr>
      <vt:lpstr>202201OK</vt:lpstr>
      <vt:lpstr>202202OK</vt:lpstr>
      <vt:lpstr>202203OK</vt:lpstr>
      <vt:lpstr>202204OK</vt:lpstr>
      <vt:lpstr>202205OK</vt:lpstr>
      <vt:lpstr>202206OK</vt:lpstr>
      <vt:lpstr>202207OK</vt:lpstr>
      <vt:lpstr>202208OK</vt:lpstr>
      <vt:lpstr>202209OK</vt:lpstr>
      <vt:lpstr>202210OK</vt:lpstr>
      <vt:lpstr>202211OK</vt:lpstr>
      <vt:lpstr>202301OK</vt:lpstr>
      <vt:lpstr>202302OK</vt:lpstr>
      <vt:lpstr>202303OK</vt:lpstr>
      <vt:lpstr>202304</vt:lpstr>
      <vt:lpstr>202305</vt:lpstr>
      <vt:lpstr>202306</vt:lpstr>
      <vt:lpstr>202307ok</vt:lpstr>
      <vt:lpstr>202308OK</vt:lpstr>
      <vt:lpstr>202309OK</vt:lpstr>
      <vt:lpstr>202310</vt:lpstr>
      <vt:lpstr>202311</vt:lpstr>
      <vt:lpstr>202312</vt:lpstr>
      <vt:lpstr>202401</vt:lpstr>
      <vt:lpstr>202402</vt:lpstr>
      <vt:lpstr>202403</vt:lpstr>
      <vt:lpstr>202404</vt:lpstr>
      <vt:lpstr>202405OK</vt:lpstr>
      <vt:lpstr>202406OK</vt:lpstr>
      <vt:lpstr>202407OK</vt:lpstr>
      <vt:lpstr>202408OK</vt:lpstr>
      <vt:lpstr>202409OK</vt:lpstr>
      <vt:lpstr>202410OK</vt:lpstr>
      <vt:lpstr>202411OK</vt:lpstr>
      <vt:lpstr>202412OK</vt:lpstr>
      <vt:lpstr>202501KO</vt:lpstr>
      <vt:lpstr>202502OK</vt:lpstr>
      <vt:lpstr>202503OK</vt:lpstr>
      <vt:lpstr>202504OK</vt:lpstr>
      <vt:lpstr>2025005OK</vt:lpstr>
      <vt:lpstr>2025006OK</vt:lpstr>
      <vt:lpstr>2025007OK</vt:lpstr>
      <vt:lpstr>2025008OK</vt:lpstr>
      <vt:lpstr>2025009OK</vt:lpstr>
      <vt:lpstr>2025010OK</vt:lpstr>
      <vt:lpstr>2025011</vt:lpstr>
      <vt:lpstr>2025012</vt:lpstr>
      <vt:lpstr>202601</vt:lpstr>
      <vt:lpstr>202602</vt:lpstr>
      <vt:lpstr>202603</vt:lpstr>
      <vt:lpstr>202604 -TEST</vt:lpstr>
      <vt:lpstr>en cours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2026-05-18T08:47:18Z</dcterms:modified>
</cp:coreProperties>
</file>